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codeName="ThisWorkbook"/>
  <mc:AlternateContent xmlns:mc="http://schemas.openxmlformats.org/markup-compatibility/2006">
    <mc:Choice Requires="x15">
      <x15ac:absPath xmlns:x15ac="http://schemas.microsoft.com/office/spreadsheetml/2010/11/ac" url="\\efdc.local\data\Planning and Economic Dev\Policy and Conservation\Forward Planning\V. Garden Town\1. Infrastructure\01. IDP\IDP Refesh 2021\Published IDP Update 2023-24\"/>
    </mc:Choice>
  </mc:AlternateContent>
  <xr:revisionPtr revIDLastSave="0" documentId="13_ncr:101_{3C2568B9-ACC6-4114-B2C9-113A25441542}" xr6:coauthVersionLast="47" xr6:coauthVersionMax="47" xr10:uidLastSave="{00000000-0000-0000-0000-000000000000}"/>
  <workbookProtection lockStructure="1"/>
  <bookViews>
    <workbookView xWindow="-110" yWindow="-110" windowWidth="19420" windowHeight="10560" tabRatio="927" firstSheet="7" activeTab="7" xr2:uid="{00000000-000D-0000-FFFF-FFFF00000000}"/>
  </bookViews>
  <sheets>
    <sheet name="Summary by Topic" sheetId="21" state="hidden" r:id="rId1"/>
    <sheet name="Site Costs Summary 2022" sheetId="40" state="hidden" r:id="rId2"/>
    <sheet name="Summary by Site - Land Variant" sheetId="25" state="hidden" r:id="rId3"/>
    <sheet name="Summary by SS - Land Variant" sheetId="26" state="hidden" r:id="rId4"/>
    <sheet name="Transport 2019" sheetId="41" state="hidden" r:id="rId5"/>
    <sheet name="Prioritisation 2022" sheetId="58" state="hidden" r:id="rId6"/>
    <sheet name="Prioritisation - old" sheetId="35" state="hidden" r:id="rId7"/>
    <sheet name="Transport 2022" sheetId="51" r:id="rId8"/>
    <sheet name="Education 2019" sheetId="42" state="hidden" r:id="rId9"/>
    <sheet name="Education 2022" sheetId="52" r:id="rId10"/>
    <sheet name="Healthcare 2019 " sheetId="43" state="hidden" r:id="rId11"/>
    <sheet name="Healthcare 2022" sheetId="57" r:id="rId12"/>
    <sheet name="Emergency Services 2019" sheetId="44" state="hidden" r:id="rId13"/>
    <sheet name="Emergency Services 2022" sheetId="39" r:id="rId14"/>
    <sheet name="Community Facilities 2019" sheetId="45" state="hidden" r:id="rId15"/>
    <sheet name="Community Facilities 2022" sheetId="53" r:id="rId16"/>
    <sheet name="Open Space 2019" sheetId="46" state="hidden" r:id="rId17"/>
    <sheet name="Open Space 2022" sheetId="54" r:id="rId18"/>
    <sheet name="Sports and Leisure 2019" sheetId="47" state="hidden" r:id="rId19"/>
    <sheet name="Sports &amp; Leisure 2022" sheetId="55" r:id="rId20"/>
    <sheet name="Utilities 2019" sheetId="48" state="hidden" r:id="rId21"/>
    <sheet name="Utilities 2022" sheetId="56" r:id="rId22"/>
    <sheet name="Flood Defence 2019" sheetId="49" state="hidden" r:id="rId23"/>
    <sheet name="Flood Defence 2022" sheetId="50" r:id="rId24"/>
    <sheet name="internal working &gt;&gt;&gt;" sheetId="11" state="hidden" r:id="rId25"/>
    <sheet name="Apportionment %" sheetId="12" state="hidden" r:id="rId26"/>
    <sheet name="Indexation" sheetId="34" state="hidden" r:id="rId27"/>
  </sheets>
  <externalReferences>
    <externalReference r:id="rId28"/>
    <externalReference r:id="rId29"/>
  </externalReferences>
  <definedNames>
    <definedName name="_xlnm._FilterDatabase" localSheetId="14" hidden="1">'Community Facilities 2019'!$A$1:$BK$16</definedName>
    <definedName name="_xlnm._FilterDatabase" localSheetId="15" hidden="1">'Community Facilities 2022'!$A$4:$BI$21</definedName>
    <definedName name="_xlnm._FilterDatabase" localSheetId="8" hidden="1">'Education 2019'!$B$1:$AC$25</definedName>
    <definedName name="_xlnm._FilterDatabase" localSheetId="9" hidden="1">'Education 2022'!$A$4:$BI$43</definedName>
    <definedName name="_xlnm._FilterDatabase" localSheetId="13" hidden="1">'Emergency Services 2022'!$A$4:$BJ$11</definedName>
    <definedName name="_xlnm._FilterDatabase" localSheetId="23" hidden="1">'Flood Defence 2022'!$A$4:$BI$14</definedName>
    <definedName name="_xlnm._FilterDatabase" localSheetId="11" hidden="1">'Healthcare 2022'!$B$4:$BJ$22</definedName>
    <definedName name="_xlnm._FilterDatabase" localSheetId="16" hidden="1">'Open Space 2019'!$A$1:$BK$50</definedName>
    <definedName name="_xlnm._FilterDatabase" localSheetId="17" hidden="1">'Open Space 2022'!$A$4:$BI$16</definedName>
    <definedName name="_xlnm._FilterDatabase" localSheetId="1" hidden="1">'Site Costs Summary 2022'!$C$4:$AF$59</definedName>
    <definedName name="_xlnm._FilterDatabase" localSheetId="19" hidden="1">'Sports &amp; Leisure 2022'!$A$4:$BI$53</definedName>
    <definedName name="_xlnm._FilterDatabase" localSheetId="7" hidden="1">'Transport 2022'!$A$4:$BI$16</definedName>
    <definedName name="_xlnm._FilterDatabase" localSheetId="20" hidden="1">'Utilities 2019'!$B$1:$AC$4</definedName>
    <definedName name="_xlnm._FilterDatabase" localSheetId="21" hidden="1">'Utilities 2022'!$A$4:$BI$14</definedName>
    <definedName name="_xlnm.Print_Area" localSheetId="15">'Community Facilities 2022'!$A$1:$BI$29</definedName>
    <definedName name="_xlnm.Print_Area" localSheetId="9">'Education 2022'!$A$1:$BI$51</definedName>
    <definedName name="_xlnm.Print_Area" localSheetId="13">'Emergency Services 2022'!$A$1:$BI$19</definedName>
    <definedName name="_xlnm.Print_Area" localSheetId="23">'Flood Defence 2022'!$A$1:$BI$22</definedName>
    <definedName name="_xlnm.Print_Area" localSheetId="11">'Healthcare 2022'!$A$1:$BI$30</definedName>
    <definedName name="_xlnm.Print_Area" localSheetId="17">'Open Space 2022'!$A$1:$BI$54</definedName>
    <definedName name="_xlnm.Print_Area" localSheetId="1">'Site Costs Summary 2022'!$A$1:$AK$149</definedName>
    <definedName name="_xlnm.Print_Area" localSheetId="19">'Sports &amp; Leisure 2022'!$A$1:$BI$61</definedName>
    <definedName name="_xlnm.Print_Area" localSheetId="21">'Utilities 2022'!$A$1:$BI$53</definedName>
    <definedName name="Z_1CA97948_3822_48B8_AE8E_E5CFD136D996_.wvu.FilterData" localSheetId="20" hidden="1">'Utilities 2019'!$B$1:$AC$4</definedName>
    <definedName name="Z_284F6FCD_6E21_4F6B_895F_21079D533F1E_.wvu.FilterData" localSheetId="8" hidden="1">'Education 2019'!$B$1:$AC$25</definedName>
    <definedName name="Z_284F6FCD_6E21_4F6B_895F_21079D533F1E_.wvu.FilterData" localSheetId="20" hidden="1">'Utilities 2019'!$B$1:$AC$4</definedName>
    <definedName name="Z_4316D466_A4E8_41A4_A93A_D2FB99511689_.wvu.FilterData" localSheetId="8" hidden="1">'Education 2019'!$B$1:$AC$25</definedName>
    <definedName name="Z_4316D466_A4E8_41A4_A93A_D2FB99511689_.wvu.FilterData" localSheetId="20" hidden="1">'Utilities 2019'!$B$1:$AC$4</definedName>
    <definedName name="Z_4FDC8199_BFB5_4B48_AD63_270DD8E5684C_.wvu.FilterData" localSheetId="8" hidden="1">'Education 2019'!$B$1:$AC$25</definedName>
    <definedName name="Z_6738F3FF_F6BA_46E6_AB73_DE51CDA2C60E_.wvu.Cols" localSheetId="14" hidden="1">'Community Facilities 2019'!#REF!,'Community Facilities 2019'!#REF!</definedName>
    <definedName name="Z_6738F3FF_F6BA_46E6_AB73_DE51CDA2C60E_.wvu.Cols" localSheetId="8" hidden="1">'Education 2019'!#REF!,'Education 2019'!#REF!</definedName>
    <definedName name="Z_6738F3FF_F6BA_46E6_AB73_DE51CDA2C60E_.wvu.Cols" localSheetId="12" hidden="1">'Emergency Services 2019'!#REF!,'Emergency Services 2019'!#REF!</definedName>
    <definedName name="Z_6738F3FF_F6BA_46E6_AB73_DE51CDA2C60E_.wvu.Cols" localSheetId="10" hidden="1">'Healthcare 2019 '!#REF!</definedName>
    <definedName name="Z_6738F3FF_F6BA_46E6_AB73_DE51CDA2C60E_.wvu.Cols" localSheetId="16" hidden="1">'Open Space 2019'!#REF!,'Open Space 2019'!#REF!</definedName>
    <definedName name="Z_6738F3FF_F6BA_46E6_AB73_DE51CDA2C60E_.wvu.Cols" localSheetId="18" hidden="1">'Sports and Leisure 2019'!$B:$AF,'Sports and Leisure 2019'!#REF!</definedName>
    <definedName name="Z_6738F3FF_F6BA_46E6_AB73_DE51CDA2C60E_.wvu.Cols" localSheetId="20" hidden="1">'Utilities 2019'!#REF!,'Utilities 2019'!$AC:$AC</definedName>
    <definedName name="Z_6738F3FF_F6BA_46E6_AB73_DE51CDA2C60E_.wvu.FilterData" localSheetId="8" hidden="1">'Education 2019'!$B$1:$AC$25</definedName>
    <definedName name="Z_6738F3FF_F6BA_46E6_AB73_DE51CDA2C60E_.wvu.FilterData" localSheetId="20" hidden="1">'Utilities 2019'!$B$1:$AC$4</definedName>
    <definedName name="Z_6738F3FF_F6BA_46E6_AB73_DE51CDA2C60E_.wvu.Rows" localSheetId="25" hidden="1">'Apportionment %'!$2:$3</definedName>
    <definedName name="Z_795D4335_4FB8_4672_A392_0055765C7A5A_.wvu.FilterData" localSheetId="8" hidden="1">'Education 2019'!$B$1:$AC$3</definedName>
    <definedName name="Z_795D4335_4FB8_4672_A392_0055765C7A5A_.wvu.FilterData" localSheetId="20" hidden="1">'Utilities 2019'!$B$1:$AC$1</definedName>
    <definedName name="Z_7F5519A9_88A7_46CA_B363_24A705583E19_.wvu.Cols" localSheetId="14" hidden="1">'Community Facilities 2019'!#REF!,'Community Facilities 2019'!#REF!</definedName>
    <definedName name="Z_7F5519A9_88A7_46CA_B363_24A705583E19_.wvu.Cols" localSheetId="16" hidden="1">'Open Space 2019'!#REF!,'Open Space 2019'!#REF!</definedName>
    <definedName name="Z_7F5519A9_88A7_46CA_B363_24A705583E19_.wvu.Cols" localSheetId="18" hidden="1">'Sports and Leisure 2019'!#REF!,'Sports and Leisure 2019'!#REF!</definedName>
    <definedName name="Z_7F5519A9_88A7_46CA_B363_24A705583E19_.wvu.FilterData" localSheetId="8" hidden="1">'Education 2019'!$B$1:$AC$25</definedName>
    <definedName name="Z_7F5519A9_88A7_46CA_B363_24A705583E19_.wvu.FilterData" localSheetId="20" hidden="1">'Utilities 2019'!$B$1:$AC$4</definedName>
    <definedName name="Z_7F5519A9_88A7_46CA_B363_24A705583E19_.wvu.Rows" localSheetId="25" hidden="1">'Apportionment %'!$2:$3</definedName>
    <definedName name="Z_8D72F46D_7159_4465_8ED8_CBBC45A8C3A5_.wvu.FilterData" localSheetId="8" hidden="1">'Education 2019'!$B$1:$AC$25</definedName>
    <definedName name="Z_8D72F46D_7159_4465_8ED8_CBBC45A8C3A5_.wvu.FilterData" localSheetId="20" hidden="1">'Utilities 2019'!$B$1:$AC$4</definedName>
    <definedName name="Z_ABA5F389_8542_4AF6_A0AD_26EEBCFE7D39_.wvu.Cols" localSheetId="14" hidden="1">'Community Facilities 2019'!#REF!,'Community Facilities 2019'!#REF!</definedName>
    <definedName name="Z_ABA5F389_8542_4AF6_A0AD_26EEBCFE7D39_.wvu.Cols" localSheetId="16" hidden="1">'Open Space 2019'!#REF!,'Open Space 2019'!#REF!</definedName>
    <definedName name="Z_ABA5F389_8542_4AF6_A0AD_26EEBCFE7D39_.wvu.Cols" localSheetId="18" hidden="1">'Sports and Leisure 2019'!#REF!,'Sports and Leisure 2019'!#REF!</definedName>
    <definedName name="Z_ABA5F389_8542_4AF6_A0AD_26EEBCFE7D39_.wvu.Cols" localSheetId="20" hidden="1">'Utilities 2019'!#REF!,'Utilities 2019'!$AC:$AC</definedName>
    <definedName name="Z_ABA5F389_8542_4AF6_A0AD_26EEBCFE7D39_.wvu.FilterData" localSheetId="8" hidden="1">'Education 2019'!$B$1:$AC$25</definedName>
    <definedName name="Z_ABA5F389_8542_4AF6_A0AD_26EEBCFE7D39_.wvu.FilterData" localSheetId="20" hidden="1">'Utilities 2019'!$B$1:$AC$4</definedName>
    <definedName name="Z_ABA5F389_8542_4AF6_A0AD_26EEBCFE7D39_.wvu.Rows" localSheetId="25" hidden="1">'Apportionment %'!$2:$3</definedName>
    <definedName name="Z_B31C465B_3C98_4FE7_ABEA_33FC9674B3E4_.wvu.Cols" localSheetId="14" hidden="1">'Community Facilities 2019'!#REF!,'Community Facilities 2019'!#REF!</definedName>
    <definedName name="Z_B31C465B_3C98_4FE7_ABEA_33FC9674B3E4_.wvu.Cols" localSheetId="8" hidden="1">'Education 2019'!$AC:$AC</definedName>
    <definedName name="Z_B31C465B_3C98_4FE7_ABEA_33FC9674B3E4_.wvu.Cols" localSheetId="16" hidden="1">'Open Space 2019'!#REF!,'Open Space 2019'!#REF!</definedName>
    <definedName name="Z_B31C465B_3C98_4FE7_ABEA_33FC9674B3E4_.wvu.Cols" localSheetId="18" hidden="1">'Sports and Leisure 2019'!#REF!,'Sports and Leisure 2019'!#REF!</definedName>
    <definedName name="Z_B31C465B_3C98_4FE7_ABEA_33FC9674B3E4_.wvu.Cols" localSheetId="20" hidden="1">'Utilities 2019'!#REF!,'Utilities 2019'!$AC:$AC</definedName>
    <definedName name="Z_B31C465B_3C98_4FE7_ABEA_33FC9674B3E4_.wvu.FilterData" localSheetId="8" hidden="1">'Education 2019'!$B$1:$AC$25</definedName>
    <definedName name="Z_B31C465B_3C98_4FE7_ABEA_33FC9674B3E4_.wvu.FilterData" localSheetId="20" hidden="1">'Utilities 2019'!$B$1:$AC$4</definedName>
    <definedName name="Z_B31C465B_3C98_4FE7_ABEA_33FC9674B3E4_.wvu.Rows" localSheetId="25" hidden="1">'Apportionment %'!$2:$3</definedName>
    <definedName name="Z_B433CC83_8203_4EA9_93D6_DAE2731C0587_.wvu.FilterData" localSheetId="8" hidden="1">'Education 2019'!$B$1:$AC$3</definedName>
    <definedName name="Z_B433CC83_8203_4EA9_93D6_DAE2731C0587_.wvu.FilterData" localSheetId="20" hidden="1">'Utilities 2019'!$B$1:$AC$1</definedName>
    <definedName name="Z_BA587665_0FD2_4433_8F22_F5D70C58DD15_.wvu.FilterData" localSheetId="8" hidden="1">'Education 2019'!$B$1:$AC$25</definedName>
    <definedName name="Z_BA587665_0FD2_4433_8F22_F5D70C58DD15_.wvu.FilterData" localSheetId="20" hidden="1">'Utilities 2019'!$B$1:$AC$4</definedName>
    <definedName name="Z_BA587665_0FD2_4433_8F22_F5D70C58DD15_.wvu.PrintTitles" localSheetId="8" hidden="1">'Education 2019'!$1:$1</definedName>
    <definedName name="Z_BA587665_0FD2_4433_8F22_F5D70C58DD15_.wvu.PrintTitles" localSheetId="20" hidden="1">'Utilities 2019'!$1:$1</definedName>
    <definedName name="Z_D495D34D_9816_4BF5_871F_B282F34B5524_.wvu.FilterData" localSheetId="8" hidden="1">'Education 2019'!$B$1:$AC$25</definedName>
    <definedName name="Z_D495D34D_9816_4BF5_871F_B282F34B5524_.wvu.FilterData" localSheetId="20" hidden="1">'Utilities 2019'!$B$1:$AC$4</definedName>
    <definedName name="Z_D495D34D_9816_4BF5_871F_B282F34B5524_.wvu.PrintTitles" localSheetId="8" hidden="1">'Education 2019'!$1:$1</definedName>
    <definedName name="Z_D495D34D_9816_4BF5_871F_B282F34B5524_.wvu.PrintTitles" localSheetId="20" hidden="1">'Utilities 2019'!$1:$1</definedName>
  </definedNames>
  <calcPr calcId="191028"/>
  <customWorkbookViews>
    <customWorkbookView name="Dan Evans - Personal View" guid="{ABA5F389-8542-4AF6-A0AD-26EEBCFE7D39}" mergeInterval="0" personalView="1" maximized="1" xWindow="1911" yWindow="116" windowWidth="1698" windowHeight="1068" activeSheetId="10" showComments="commIndAndComment"/>
    <customWorkbookView name="Claire-x Miller - Personal View" guid="{7F5519A9-88A7-46CA-B363-24A705583E19}" mergeInterval="0" personalView="1" maximized="1" xWindow="-2891" yWindow="-161" windowWidth="2902" windowHeight="1762" activeSheetId="4" showComments="commIndAndComment"/>
    <customWorkbookView name="Emily Jones - Personal View" guid="{BA587665-0FD2-4433-8F22-F5D70C58DD15}" mergeInterval="0" personalView="1" maximized="1" xWindow="-9" yWindow="-9" windowWidth="1938" windowHeight="1050" activeSheetId="4"/>
    <customWorkbookView name="Anna Richards - Personal View" guid="{795D4335-4FB8-4672-A392-0055765C7A5A}" mergeInterval="0" personalView="1" maximized="1" xWindow="-8" yWindow="-8" windowWidth="1382" windowHeight="744" activeSheetId="21"/>
    <customWorkbookView name="Mark McFadden - Personal View" guid="{D495D34D-9816-4BF5-871F-B282F34B5524}" mergeInterval="0" personalView="1" maximized="1" xWindow="-9" yWindow="-9" windowWidth="1938" windowHeight="1170" activeSheetId="1"/>
    <customWorkbookView name="Lizzey Williams - Personal View" guid="{6738F3FF-F6BA-46E6-AB73-DE51CDA2C60E}" mergeInterval="0" personalView="1" maximized="1" xWindow="-8" yWindow="-8" windowWidth="1936" windowHeight="1056" activeSheetId="1" showComments="commIndAndComment"/>
    <customWorkbookView name="Alice Jenkins - Personal View" guid="{B31C465B-3C98-4FE7-ABEA-33FC9674B3E4}" mergeInterval="0" personalView="1" maximized="1" xWindow="-8" yWindow="-8" windowWidth="1936" windowHeight="117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8" i="57" l="1"/>
  <c r="AA28" i="57"/>
  <c r="W28" i="57"/>
  <c r="BI118" i="51"/>
  <c r="BH118" i="51"/>
  <c r="BG118" i="51"/>
  <c r="BF118" i="51"/>
  <c r="BE118" i="51"/>
  <c r="BD118" i="51"/>
  <c r="BC118" i="51"/>
  <c r="BB118" i="51"/>
  <c r="BA118" i="51"/>
  <c r="AZ118" i="51"/>
  <c r="AY118" i="51"/>
  <c r="AX118" i="51"/>
  <c r="AW118" i="51"/>
  <c r="AV118" i="51"/>
  <c r="AU118" i="51"/>
  <c r="AT118" i="51"/>
  <c r="AS118" i="51"/>
  <c r="AR118" i="51"/>
  <c r="AQ118" i="51"/>
  <c r="AP118" i="51"/>
  <c r="AO118" i="51"/>
  <c r="AN118" i="51"/>
  <c r="AM118" i="51"/>
  <c r="AL118" i="51"/>
  <c r="AE117" i="51"/>
  <c r="AB118" i="51"/>
  <c r="AA117" i="51"/>
  <c r="X118" i="51"/>
  <c r="W115" i="51"/>
  <c r="T116" i="51"/>
  <c r="Q115" i="51"/>
  <c r="W17" i="53"/>
  <c r="AG33" i="51" l="1"/>
  <c r="AM32" i="51"/>
  <c r="AL32" i="51"/>
  <c r="AL33" i="51"/>
  <c r="AM33" i="51"/>
  <c r="R49" i="56" l="1"/>
  <c r="R57" i="55"/>
  <c r="R50" i="54"/>
  <c r="R25" i="53"/>
  <c r="R15" i="39"/>
  <c r="R47" i="52"/>
  <c r="BH10" i="51"/>
  <c r="R18" i="50"/>
  <c r="R26" i="57"/>
  <c r="Q47" i="52"/>
  <c r="BG10" i="51" l="1"/>
  <c r="BF10" i="51"/>
  <c r="BE10" i="51"/>
  <c r="BD10" i="51"/>
  <c r="BC10" i="51"/>
  <c r="BB10" i="51"/>
  <c r="BA10" i="51"/>
  <c r="AZ10" i="51"/>
  <c r="AY10" i="51"/>
  <c r="AX10" i="51"/>
  <c r="AW10" i="51"/>
  <c r="AV10" i="51"/>
  <c r="AU10" i="51"/>
  <c r="AT10" i="51"/>
  <c r="AS10" i="51"/>
  <c r="AR10" i="51"/>
  <c r="AQ10" i="51"/>
  <c r="AO10" i="51"/>
  <c r="AN10" i="51"/>
  <c r="Q101" i="51" l="1"/>
  <c r="AC59" i="12"/>
  <c r="AB59" i="12"/>
  <c r="AA59" i="12"/>
  <c r="Z59" i="12"/>
  <c r="Y59" i="12"/>
  <c r="X59" i="12"/>
  <c r="W59" i="12"/>
  <c r="V59" i="12"/>
  <c r="U59" i="12"/>
  <c r="T59" i="12"/>
  <c r="S59" i="12"/>
  <c r="R59" i="12"/>
  <c r="Q59" i="12"/>
  <c r="P59" i="12"/>
  <c r="O59" i="12"/>
  <c r="N59" i="12"/>
  <c r="M59" i="12"/>
  <c r="L59" i="12"/>
  <c r="K59" i="12"/>
  <c r="J59" i="12"/>
  <c r="H59" i="12"/>
  <c r="G59" i="12"/>
  <c r="I59" i="12"/>
  <c r="F59" i="12"/>
  <c r="E59" i="12"/>
  <c r="D59" i="12"/>
  <c r="C59" i="12"/>
  <c r="T10" i="51"/>
  <c r="P57" i="12" l="1"/>
  <c r="H57" i="12"/>
  <c r="G57" i="12"/>
  <c r="F57" i="12"/>
  <c r="E57" i="12"/>
  <c r="B57" i="12"/>
  <c r="D57" i="12" s="1"/>
  <c r="C57" i="12"/>
  <c r="AL10" i="52"/>
  <c r="X18" i="54"/>
  <c r="AA18" i="54" s="1"/>
  <c r="X31" i="54"/>
  <c r="H56" i="12"/>
  <c r="G56" i="12"/>
  <c r="BF10" i="52"/>
  <c r="AW10" i="52"/>
  <c r="AV10" i="52"/>
  <c r="AU10" i="52"/>
  <c r="AT10" i="52"/>
  <c r="AS10" i="52"/>
  <c r="AR10" i="52"/>
  <c r="AQ10" i="52"/>
  <c r="AP10" i="52"/>
  <c r="AM10" i="52"/>
  <c r="AN10" i="52"/>
  <c r="AK10" i="52"/>
  <c r="X21" i="53"/>
  <c r="Q42" i="56"/>
  <c r="X42" i="56" s="1"/>
  <c r="Q12" i="55"/>
  <c r="AN42" i="51"/>
  <c r="D54" i="12"/>
  <c r="E54" i="12"/>
  <c r="F54" i="12"/>
  <c r="G54" i="12"/>
  <c r="H54" i="12"/>
  <c r="C54" i="12"/>
  <c r="Q44" i="51"/>
  <c r="AL44" i="51" s="1"/>
  <c r="Q93" i="51"/>
  <c r="AL24" i="52"/>
  <c r="AK24" i="52"/>
  <c r="AN34" i="52"/>
  <c r="D44" i="12"/>
  <c r="E51" i="12"/>
  <c r="F51" i="12"/>
  <c r="B52" i="12"/>
  <c r="AM44" i="51" l="1"/>
  <c r="T119" i="51"/>
  <c r="X32" i="51"/>
  <c r="C9" i="34"/>
  <c r="J10" i="34"/>
  <c r="K10" i="34" s="1"/>
  <c r="Q90" i="51"/>
  <c r="J6" i="34"/>
  <c r="K6" i="34" s="1"/>
  <c r="J7" i="34"/>
  <c r="K7" i="34" s="1"/>
  <c r="W90" i="51" l="1"/>
  <c r="T90" i="51"/>
  <c r="Q12" i="51"/>
  <c r="R115" i="51" s="1"/>
  <c r="Q10" i="51"/>
  <c r="C33" i="34"/>
  <c r="C32" i="34"/>
  <c r="C31" i="34"/>
  <c r="C30" i="34"/>
  <c r="C29" i="34"/>
  <c r="C28" i="34"/>
  <c r="C27" i="34"/>
  <c r="C26" i="34"/>
  <c r="C24" i="34"/>
  <c r="C23" i="34"/>
  <c r="C22" i="34"/>
  <c r="C21" i="34"/>
  <c r="C20" i="34"/>
  <c r="C19" i="34"/>
  <c r="C11" i="34"/>
  <c r="W10" i="51" l="1"/>
  <c r="W39" i="51"/>
  <c r="X39" i="51"/>
  <c r="X37" i="51"/>
  <c r="W35" i="51"/>
  <c r="AP35" i="51" s="1"/>
  <c r="W37" i="51"/>
  <c r="Q32" i="52"/>
  <c r="Q22" i="52"/>
  <c r="AK13" i="52"/>
  <c r="AL13" i="52"/>
  <c r="Q13" i="52"/>
  <c r="AL22" i="52" l="1"/>
  <c r="AK22" i="52"/>
  <c r="BI119" i="51"/>
  <c r="BH119" i="51"/>
  <c r="BG119" i="51"/>
  <c r="BF119" i="51"/>
  <c r="BE119" i="51"/>
  <c r="BD119" i="51"/>
  <c r="BC119" i="51"/>
  <c r="BB119" i="51"/>
  <c r="BA119" i="51"/>
  <c r="AZ119" i="51"/>
  <c r="AY119" i="51"/>
  <c r="AX119" i="51"/>
  <c r="AW119" i="51"/>
  <c r="AV119" i="51"/>
  <c r="AU119" i="51"/>
  <c r="AT119" i="51"/>
  <c r="AP119" i="51"/>
  <c r="AE6" i="40"/>
  <c r="AM83" i="51"/>
  <c r="AL83" i="51"/>
  <c r="X81" i="51"/>
  <c r="AM81" i="51" s="1"/>
  <c r="U48" i="52"/>
  <c r="AB29" i="57"/>
  <c r="U27" i="57"/>
  <c r="Q26" i="57"/>
  <c r="AF47" i="40"/>
  <c r="AE47" i="40"/>
  <c r="AD47" i="40"/>
  <c r="X47" i="40"/>
  <c r="W47" i="40"/>
  <c r="V47" i="40"/>
  <c r="U47" i="40"/>
  <c r="P47" i="40"/>
  <c r="AF42" i="40"/>
  <c r="AE42" i="40"/>
  <c r="W42" i="40"/>
  <c r="V42" i="40"/>
  <c r="O42" i="40"/>
  <c r="M42" i="40"/>
  <c r="AB37" i="40"/>
  <c r="AA37" i="40"/>
  <c r="T37" i="40"/>
  <c r="S37" i="40"/>
  <c r="BH60" i="55"/>
  <c r="AF37" i="40" s="1"/>
  <c r="BG60" i="55"/>
  <c r="AE37" i="40" s="1"/>
  <c r="BF60" i="55"/>
  <c r="AD37" i="40" s="1"/>
  <c r="BE60" i="55"/>
  <c r="BD60" i="55"/>
  <c r="BC60" i="55"/>
  <c r="Z37" i="40" s="1"/>
  <c r="BB60" i="55"/>
  <c r="Y37" i="40" s="1"/>
  <c r="BA60" i="55"/>
  <c r="X37" i="40" s="1"/>
  <c r="AZ60" i="55"/>
  <c r="W37" i="40" s="1"/>
  <c r="AY60" i="55"/>
  <c r="V37" i="40" s="1"/>
  <c r="AX60" i="55"/>
  <c r="U37" i="40" s="1"/>
  <c r="AW60" i="55"/>
  <c r="AV60" i="55"/>
  <c r="AU60" i="55"/>
  <c r="R37" i="40" s="1"/>
  <c r="AT60" i="55"/>
  <c r="Q37" i="40" s="1"/>
  <c r="AS60" i="55"/>
  <c r="P37" i="40" s="1"/>
  <c r="AO60" i="55"/>
  <c r="AB60" i="55"/>
  <c r="U58" i="55"/>
  <c r="W32" i="56"/>
  <c r="W17" i="56"/>
  <c r="AA17" i="56" s="1"/>
  <c r="AB52" i="56"/>
  <c r="X52" i="56"/>
  <c r="W42" i="56"/>
  <c r="U50" i="56"/>
  <c r="BH52" i="56"/>
  <c r="BG52" i="56"/>
  <c r="BF52" i="56"/>
  <c r="AD42" i="40" s="1"/>
  <c r="BE52" i="56"/>
  <c r="AB42" i="40" s="1"/>
  <c r="BD52" i="56"/>
  <c r="AA42" i="40" s="1"/>
  <c r="BC52" i="56"/>
  <c r="Z42" i="40" s="1"/>
  <c r="BB52" i="56"/>
  <c r="Y42" i="40" s="1"/>
  <c r="BA52" i="56"/>
  <c r="X42" i="40" s="1"/>
  <c r="AZ52" i="56"/>
  <c r="AY52" i="56"/>
  <c r="AX52" i="56"/>
  <c r="U42" i="40" s="1"/>
  <c r="AW52" i="56"/>
  <c r="T42" i="40" s="1"/>
  <c r="AV52" i="56"/>
  <c r="S42" i="40" s="1"/>
  <c r="AU52" i="56"/>
  <c r="R42" i="40" s="1"/>
  <c r="AT52" i="56"/>
  <c r="Q42" i="40" s="1"/>
  <c r="AS52" i="56"/>
  <c r="P42" i="40" s="1"/>
  <c r="AR52" i="56"/>
  <c r="AQ52" i="56"/>
  <c r="AP52" i="56"/>
  <c r="L42" i="40" s="1"/>
  <c r="AN52" i="56"/>
  <c r="J42" i="40" s="1"/>
  <c r="AM52" i="56"/>
  <c r="I42" i="40" s="1"/>
  <c r="AL52" i="56"/>
  <c r="H42" i="40" s="1"/>
  <c r="AK52" i="56"/>
  <c r="G42" i="40" s="1"/>
  <c r="Q17" i="56"/>
  <c r="X32" i="56"/>
  <c r="AO32" i="56" s="1"/>
  <c r="AO52" i="56" s="1"/>
  <c r="K42" i="40" s="1"/>
  <c r="Q49" i="56"/>
  <c r="AB21" i="50"/>
  <c r="U19" i="50"/>
  <c r="BH21" i="50"/>
  <c r="BG21" i="50"/>
  <c r="BF21" i="50"/>
  <c r="BE21" i="50"/>
  <c r="AB47" i="40" s="1"/>
  <c r="BD21" i="50"/>
  <c r="AA47" i="40" s="1"/>
  <c r="BC21" i="50"/>
  <c r="Z47" i="40" s="1"/>
  <c r="BB21" i="50"/>
  <c r="Y47" i="40" s="1"/>
  <c r="BA21" i="50"/>
  <c r="AZ21" i="50"/>
  <c r="AY21" i="50"/>
  <c r="AX21" i="50"/>
  <c r="AW21" i="50"/>
  <c r="T47" i="40" s="1"/>
  <c r="AV21" i="50"/>
  <c r="S47" i="40" s="1"/>
  <c r="AU21" i="50"/>
  <c r="R47" i="40" s="1"/>
  <c r="AT21" i="50"/>
  <c r="Q47" i="40" s="1"/>
  <c r="AS21" i="50"/>
  <c r="AO21" i="50"/>
  <c r="AL21" i="50"/>
  <c r="H47" i="40" s="1"/>
  <c r="AK21" i="50"/>
  <c r="G47" i="40" s="1"/>
  <c r="AF32" i="40"/>
  <c r="AE32" i="40"/>
  <c r="AD32" i="40"/>
  <c r="W32" i="40"/>
  <c r="V32" i="40"/>
  <c r="U32" i="40"/>
  <c r="O32" i="40"/>
  <c r="AE52" i="54"/>
  <c r="AB53" i="54"/>
  <c r="BH53" i="54"/>
  <c r="BG53" i="54"/>
  <c r="BF53" i="54"/>
  <c r="BE53" i="54"/>
  <c r="AB32" i="40" s="1"/>
  <c r="BD53" i="54"/>
  <c r="AA32" i="40" s="1"/>
  <c r="BC53" i="54"/>
  <c r="Z32" i="40" s="1"/>
  <c r="BB53" i="54"/>
  <c r="Y32" i="40" s="1"/>
  <c r="BA53" i="54"/>
  <c r="X32" i="40" s="1"/>
  <c r="AZ53" i="54"/>
  <c r="AY53" i="54"/>
  <c r="AX53" i="54"/>
  <c r="AW53" i="54"/>
  <c r="T32" i="40" s="1"/>
  <c r="AV53" i="54"/>
  <c r="S32" i="40" s="1"/>
  <c r="AU53" i="54"/>
  <c r="R32" i="40" s="1"/>
  <c r="AT53" i="54"/>
  <c r="Q32" i="40" s="1"/>
  <c r="AS53" i="54"/>
  <c r="P32" i="40" s="1"/>
  <c r="AR53" i="54"/>
  <c r="AO53" i="54"/>
  <c r="AL53" i="54"/>
  <c r="H32" i="40" s="1"/>
  <c r="AK53" i="54"/>
  <c r="G32" i="40" s="1"/>
  <c r="AF27" i="40"/>
  <c r="Y27" i="40"/>
  <c r="X27" i="40"/>
  <c r="W27" i="40"/>
  <c r="BH28" i="53"/>
  <c r="BG28" i="53"/>
  <c r="AE27" i="40" s="1"/>
  <c r="BE28" i="53"/>
  <c r="AB27" i="40" s="1"/>
  <c r="BD28" i="53"/>
  <c r="AA27" i="40" s="1"/>
  <c r="BC28" i="53"/>
  <c r="Z27" i="40" s="1"/>
  <c r="BB28" i="53"/>
  <c r="BA28" i="53"/>
  <c r="AZ28" i="53"/>
  <c r="AY28" i="53"/>
  <c r="V27" i="40" s="1"/>
  <c r="AX28" i="53"/>
  <c r="U27" i="40" s="1"/>
  <c r="AO28" i="53"/>
  <c r="U26" i="53"/>
  <c r="Z22" i="40"/>
  <c r="Y22" i="40"/>
  <c r="X22" i="40"/>
  <c r="R22" i="40"/>
  <c r="Q22" i="40"/>
  <c r="P22" i="40"/>
  <c r="H22" i="40"/>
  <c r="G22" i="40"/>
  <c r="AB18" i="39"/>
  <c r="U16" i="39"/>
  <c r="Q15" i="39"/>
  <c r="BH18" i="39"/>
  <c r="AF22" i="40" s="1"/>
  <c r="BG18" i="39"/>
  <c r="AE22" i="40" s="1"/>
  <c r="BF18" i="39"/>
  <c r="AD22" i="40" s="1"/>
  <c r="BE18" i="39"/>
  <c r="AB22" i="40" s="1"/>
  <c r="BD18" i="39"/>
  <c r="AA22" i="40" s="1"/>
  <c r="BC18" i="39"/>
  <c r="BB18" i="39"/>
  <c r="BA18" i="39"/>
  <c r="AZ18" i="39"/>
  <c r="W22" i="40" s="1"/>
  <c r="AY18" i="39"/>
  <c r="V22" i="40" s="1"/>
  <c r="AX18" i="39"/>
  <c r="U22" i="40" s="1"/>
  <c r="AW18" i="39"/>
  <c r="T22" i="40" s="1"/>
  <c r="AV18" i="39"/>
  <c r="S22" i="40" s="1"/>
  <c r="AU18" i="39"/>
  <c r="AT18" i="39"/>
  <c r="AS18" i="39"/>
  <c r="AR18" i="39"/>
  <c r="O22" i="40" s="1"/>
  <c r="AQ18" i="39"/>
  <c r="M22" i="40" s="1"/>
  <c r="AP18" i="39"/>
  <c r="L22" i="40" s="1"/>
  <c r="AO18" i="39"/>
  <c r="AN18" i="39"/>
  <c r="J22" i="40" s="1"/>
  <c r="AM18" i="39"/>
  <c r="I22" i="40" s="1"/>
  <c r="AL18" i="39"/>
  <c r="AK18" i="39"/>
  <c r="BH29" i="57"/>
  <c r="AF17" i="40" s="1"/>
  <c r="BG29" i="57"/>
  <c r="AE17" i="40" s="1"/>
  <c r="BF29" i="57"/>
  <c r="AD17" i="40" s="1"/>
  <c r="BE29" i="57"/>
  <c r="AB17" i="40" s="1"/>
  <c r="BD29" i="57"/>
  <c r="AA17" i="40" s="1"/>
  <c r="BC29" i="57"/>
  <c r="Z17" i="40" s="1"/>
  <c r="BB29" i="57"/>
  <c r="Y17" i="40" s="1"/>
  <c r="BA29" i="57"/>
  <c r="X17" i="40" s="1"/>
  <c r="AZ29" i="57"/>
  <c r="W17" i="40" s="1"/>
  <c r="AY29" i="57"/>
  <c r="V17" i="40" s="1"/>
  <c r="AX29" i="57"/>
  <c r="U17" i="40" s="1"/>
  <c r="AW29" i="57"/>
  <c r="T17" i="40" s="1"/>
  <c r="AV29" i="57"/>
  <c r="S17" i="40" s="1"/>
  <c r="AU29" i="57"/>
  <c r="R17" i="40" s="1"/>
  <c r="AT29" i="57"/>
  <c r="Q17" i="40" s="1"/>
  <c r="AS29" i="57"/>
  <c r="P17" i="40" s="1"/>
  <c r="AO29" i="57"/>
  <c r="AB38" i="52"/>
  <c r="BF38" i="52"/>
  <c r="C45" i="34"/>
  <c r="C44" i="34"/>
  <c r="AB17" i="52"/>
  <c r="BF17" i="52"/>
  <c r="C39" i="34"/>
  <c r="C38" i="34"/>
  <c r="AA51" i="56" l="1"/>
  <c r="AE17" i="56"/>
  <c r="AE51" i="56" s="1"/>
  <c r="AL81" i="51"/>
  <c r="W51" i="56"/>
  <c r="C34" i="34"/>
  <c r="BG50" i="52" l="1"/>
  <c r="AE12" i="40" s="1"/>
  <c r="AO50" i="52"/>
  <c r="J24" i="34"/>
  <c r="K24" i="34" s="1"/>
  <c r="J25" i="34"/>
  <c r="K25" i="34" s="1"/>
  <c r="J28" i="34"/>
  <c r="K28" i="34" s="1"/>
  <c r="J27" i="34"/>
  <c r="K27" i="34" s="1"/>
  <c r="J31" i="34"/>
  <c r="K31" i="34" s="1"/>
  <c r="B29" i="34"/>
  <c r="B22" i="34"/>
  <c r="B21" i="34"/>
  <c r="B20" i="34"/>
  <c r="B19" i="34"/>
  <c r="J50" i="34"/>
  <c r="K50" i="34" s="1"/>
  <c r="J49" i="34"/>
  <c r="K49" i="34" s="1"/>
  <c r="J48" i="34"/>
  <c r="K48" i="34" s="1"/>
  <c r="J47" i="34"/>
  <c r="K47" i="34" s="1"/>
  <c r="J46" i="34"/>
  <c r="K46" i="34" s="1"/>
  <c r="J45" i="34"/>
  <c r="J44" i="34"/>
  <c r="J43" i="34"/>
  <c r="K43" i="34" s="1"/>
  <c r="J42" i="34"/>
  <c r="J41" i="34"/>
  <c r="J40" i="34"/>
  <c r="J39" i="34"/>
  <c r="J38" i="34"/>
  <c r="J37" i="34"/>
  <c r="J36" i="34"/>
  <c r="K36" i="34" s="1"/>
  <c r="J35" i="34"/>
  <c r="K35" i="34" s="1"/>
  <c r="J34" i="34"/>
  <c r="J33" i="34"/>
  <c r="K33" i="34" s="1"/>
  <c r="J32" i="34"/>
  <c r="K32" i="34" s="1"/>
  <c r="J30" i="34"/>
  <c r="K30" i="34" s="1"/>
  <c r="J29" i="34"/>
  <c r="K29" i="34" s="1"/>
  <c r="J26" i="34"/>
  <c r="K26" i="34" s="1"/>
  <c r="J23" i="34"/>
  <c r="K23" i="34" s="1"/>
  <c r="J22" i="34"/>
  <c r="K22" i="34" s="1"/>
  <c r="K34" i="34" l="1"/>
  <c r="K38" i="34"/>
  <c r="AN15" i="52"/>
  <c r="AQ15" i="52"/>
  <c r="Q15" i="52"/>
  <c r="AM15" i="52"/>
  <c r="K42" i="34"/>
  <c r="AP40" i="52"/>
  <c r="AQ40" i="52"/>
  <c r="AN40" i="52"/>
  <c r="AM40" i="52"/>
  <c r="K39" i="34"/>
  <c r="AP15" i="52"/>
  <c r="K40" i="34"/>
  <c r="BB17" i="52"/>
  <c r="AX17" i="52"/>
  <c r="AW17" i="52"/>
  <c r="AS17" i="52"/>
  <c r="BE17" i="52"/>
  <c r="BA17" i="52"/>
  <c r="AV17" i="52"/>
  <c r="AR17" i="52"/>
  <c r="Q17" i="52"/>
  <c r="BD17" i="52"/>
  <c r="AZ17" i="52"/>
  <c r="AU17" i="52"/>
  <c r="BC17" i="52"/>
  <c r="AY17" i="52"/>
  <c r="AT17" i="52"/>
  <c r="K44" i="34"/>
  <c r="AP19" i="52"/>
  <c r="AN19" i="52"/>
  <c r="AM19" i="52"/>
  <c r="AQ19" i="52"/>
  <c r="K37" i="34"/>
  <c r="BB34" i="52"/>
  <c r="AX34" i="52"/>
  <c r="AV34" i="52"/>
  <c r="AR34" i="52"/>
  <c r="AM34" i="52"/>
  <c r="AP34" i="52"/>
  <c r="BE34" i="52"/>
  <c r="BA34" i="52"/>
  <c r="BH34" i="52"/>
  <c r="AU34" i="52"/>
  <c r="AQ34" i="52"/>
  <c r="Q34" i="52"/>
  <c r="BF34" i="52"/>
  <c r="BD34" i="52"/>
  <c r="AT34" i="52"/>
  <c r="BC34" i="52"/>
  <c r="AY34" i="52"/>
  <c r="AW34" i="52"/>
  <c r="AS34" i="52"/>
  <c r="AZ34" i="52"/>
  <c r="K45" i="34"/>
  <c r="AN36" i="52"/>
  <c r="AM36" i="52"/>
  <c r="AQ36" i="52"/>
  <c r="AP36" i="52"/>
  <c r="Q65" i="51"/>
  <c r="Q61" i="51"/>
  <c r="K41" i="34"/>
  <c r="Q69" i="51"/>
  <c r="X63" i="51"/>
  <c r="Q59" i="51"/>
  <c r="Q77" i="51"/>
  <c r="AO65" i="51"/>
  <c r="AQ77" i="51"/>
  <c r="X77" i="51" s="1"/>
  <c r="AN65" i="51"/>
  <c r="AR69" i="51"/>
  <c r="Q67" i="51"/>
  <c r="Q36" i="52" l="1"/>
  <c r="AY50" i="52"/>
  <c r="V12" i="40" s="1"/>
  <c r="BC50" i="52"/>
  <c r="BE50" i="52"/>
  <c r="AB12" i="40" s="1"/>
  <c r="BB50" i="52"/>
  <c r="Q40" i="52"/>
  <c r="Q19" i="52"/>
  <c r="AZ50" i="52"/>
  <c r="W12" i="40" s="1"/>
  <c r="BD50" i="52"/>
  <c r="AA12" i="40" s="1"/>
  <c r="BA50" i="52"/>
  <c r="X12" i="40" s="1"/>
  <c r="AX50" i="52"/>
  <c r="U12" i="40" s="1"/>
  <c r="X69" i="51"/>
  <c r="X65" i="51"/>
  <c r="X10" i="52" l="1"/>
  <c r="W10" i="52" s="1"/>
  <c r="Z12" i="40"/>
  <c r="Y12" i="40"/>
  <c r="AB10" i="51"/>
  <c r="AD6" i="40"/>
  <c r="AF6" i="40"/>
  <c r="AB6" i="40"/>
  <c r="AA6" i="40"/>
  <c r="Z6" i="40"/>
  <c r="Y6" i="40"/>
  <c r="X6" i="40"/>
  <c r="W6" i="40"/>
  <c r="V6" i="40"/>
  <c r="U6" i="40"/>
  <c r="T6" i="40"/>
  <c r="S6" i="40"/>
  <c r="R6" i="40"/>
  <c r="Q6" i="40"/>
  <c r="P6" i="40"/>
  <c r="AM101" i="51" l="1"/>
  <c r="AL101" i="51"/>
  <c r="AQ101" i="51"/>
  <c r="J15" i="34"/>
  <c r="K15" i="34" s="1"/>
  <c r="J14" i="34"/>
  <c r="K14" i="34" s="1"/>
  <c r="J13" i="34"/>
  <c r="K13" i="34" s="1"/>
  <c r="J12" i="34"/>
  <c r="J11" i="34"/>
  <c r="K11" i="34" s="1"/>
  <c r="J9" i="34"/>
  <c r="K9" i="34" s="1"/>
  <c r="J16" i="34"/>
  <c r="K16" i="34" s="1"/>
  <c r="J17" i="34"/>
  <c r="K17" i="34" s="1"/>
  <c r="J18" i="34"/>
  <c r="K18" i="34" s="1"/>
  <c r="J19" i="34"/>
  <c r="J20" i="34"/>
  <c r="J21" i="34"/>
  <c r="J8" i="34"/>
  <c r="K8" i="34" s="1"/>
  <c r="J5" i="34"/>
  <c r="K5" i="34" s="1"/>
  <c r="K21" i="34" l="1"/>
  <c r="Q57" i="51"/>
  <c r="K20" i="34"/>
  <c r="Q55" i="51"/>
  <c r="K19" i="34"/>
  <c r="Q47" i="51"/>
  <c r="K12" i="34"/>
  <c r="AB15" i="52" l="1"/>
  <c r="AN14" i="50" l="1"/>
  <c r="AN21" i="50" s="1"/>
  <c r="J47" i="40" s="1"/>
  <c r="AM14" i="50"/>
  <c r="AM21" i="50" s="1"/>
  <c r="I47" i="40" s="1"/>
  <c r="AR14" i="50"/>
  <c r="AR21" i="50" s="1"/>
  <c r="O47" i="40" s="1"/>
  <c r="AQ14" i="50"/>
  <c r="AQ21" i="50" s="1"/>
  <c r="M47" i="40" s="1"/>
  <c r="AP14" i="50"/>
  <c r="AP21" i="50" s="1"/>
  <c r="L47" i="40" s="1"/>
  <c r="Q14" i="50"/>
  <c r="X14" i="50"/>
  <c r="X21" i="50" s="1"/>
  <c r="W10" i="50"/>
  <c r="W9" i="39"/>
  <c r="AA9" i="39" s="1"/>
  <c r="AE9" i="39" s="1"/>
  <c r="W10" i="57"/>
  <c r="W14" i="57"/>
  <c r="X14" i="57" s="1"/>
  <c r="W12" i="57"/>
  <c r="X12" i="57" s="1"/>
  <c r="AC51" i="40"/>
  <c r="AC46" i="40"/>
  <c r="AC41" i="40"/>
  <c r="AC36" i="40"/>
  <c r="AC31" i="40"/>
  <c r="AC26" i="40"/>
  <c r="AC21" i="40"/>
  <c r="AC16" i="40"/>
  <c r="AC15" i="40"/>
  <c r="E37" i="40"/>
  <c r="W27" i="55"/>
  <c r="AA27" i="55" s="1"/>
  <c r="AE27" i="55" s="1"/>
  <c r="W21" i="55"/>
  <c r="AA21" i="55" s="1"/>
  <c r="AE21" i="55" s="1"/>
  <c r="W12" i="55"/>
  <c r="X10" i="55"/>
  <c r="X60" i="55" s="1"/>
  <c r="AR10" i="55"/>
  <c r="AR60" i="55" s="1"/>
  <c r="O37" i="40" s="1"/>
  <c r="AQ10" i="55"/>
  <c r="AQ60" i="55" s="1"/>
  <c r="M37" i="40" s="1"/>
  <c r="AP10" i="55"/>
  <c r="AP60" i="55" s="1"/>
  <c r="L37" i="40" s="1"/>
  <c r="AN10" i="55"/>
  <c r="AN60" i="55" s="1"/>
  <c r="J37" i="40" s="1"/>
  <c r="AM10" i="55"/>
  <c r="AM60" i="55" s="1"/>
  <c r="I37" i="40" s="1"/>
  <c r="AL10" i="55"/>
  <c r="AL60" i="55" s="1"/>
  <c r="H37" i="40" s="1"/>
  <c r="AK10" i="55"/>
  <c r="AK60" i="55" s="1"/>
  <c r="G37" i="40" s="1"/>
  <c r="Q10" i="55"/>
  <c r="Q53" i="55"/>
  <c r="W53" i="55" s="1"/>
  <c r="AA53" i="55" s="1"/>
  <c r="AE53" i="55" s="1"/>
  <c r="Q47" i="55"/>
  <c r="W47" i="55" s="1"/>
  <c r="AA47" i="55" s="1"/>
  <c r="AE47" i="55" s="1"/>
  <c r="Q44" i="55"/>
  <c r="W44" i="55" s="1"/>
  <c r="AA44" i="55" s="1"/>
  <c r="AE44" i="55" s="1"/>
  <c r="Q41" i="55"/>
  <c r="W41" i="55" s="1"/>
  <c r="AA41" i="55" s="1"/>
  <c r="AE41" i="55" s="1"/>
  <c r="Q38" i="55"/>
  <c r="W38" i="55" s="1"/>
  <c r="AA38" i="55" s="1"/>
  <c r="AE38" i="55" s="1"/>
  <c r="Q35" i="55"/>
  <c r="W35" i="55" s="1"/>
  <c r="AA35" i="55" s="1"/>
  <c r="AE35" i="55" s="1"/>
  <c r="Q24" i="55"/>
  <c r="W24" i="55" s="1"/>
  <c r="AA24" i="55" s="1"/>
  <c r="AE24" i="55" s="1"/>
  <c r="Q18" i="55"/>
  <c r="W18" i="55" s="1"/>
  <c r="AA18" i="55" s="1"/>
  <c r="AE18" i="55" s="1"/>
  <c r="AQ46" i="54"/>
  <c r="AP46" i="54"/>
  <c r="AN46" i="54"/>
  <c r="W46" i="54"/>
  <c r="X46" i="54" s="1"/>
  <c r="Q57" i="55" l="1"/>
  <c r="AA12" i="55"/>
  <c r="AQ12" i="57"/>
  <c r="X29" i="57"/>
  <c r="W10" i="55"/>
  <c r="W59" i="55" s="1"/>
  <c r="D37" i="40"/>
  <c r="W14" i="50"/>
  <c r="AA14" i="50" s="1"/>
  <c r="AE14" i="50" s="1"/>
  <c r="Q18" i="50"/>
  <c r="AA10" i="50"/>
  <c r="AR12" i="57"/>
  <c r="AM12" i="57"/>
  <c r="AN12" i="57"/>
  <c r="AE12" i="55"/>
  <c r="AR14" i="57"/>
  <c r="AM14" i="57"/>
  <c r="AQ14" i="57"/>
  <c r="AQ29" i="57" s="1"/>
  <c r="M17" i="40" s="1"/>
  <c r="AP14" i="57"/>
  <c r="AN14" i="57"/>
  <c r="AP12" i="57"/>
  <c r="AP29" i="57" s="1"/>
  <c r="L17" i="40" s="1"/>
  <c r="AC32" i="40"/>
  <c r="W20" i="50" l="1"/>
  <c r="AL29" i="57"/>
  <c r="H17" i="40" s="1"/>
  <c r="AM29" i="57"/>
  <c r="I17" i="40" s="1"/>
  <c r="AA10" i="55"/>
  <c r="AA59" i="55" s="1"/>
  <c r="AE10" i="50"/>
  <c r="AE20" i="50" s="1"/>
  <c r="AA20" i="50"/>
  <c r="AN29" i="57"/>
  <c r="J17" i="40" s="1"/>
  <c r="AK29" i="57"/>
  <c r="G17" i="40" s="1"/>
  <c r="AR29" i="57"/>
  <c r="O17" i="40" s="1"/>
  <c r="W10" i="54"/>
  <c r="AE10" i="55" l="1"/>
  <c r="AE59" i="55" s="1"/>
  <c r="U31" i="54"/>
  <c r="U51" i="54" s="1"/>
  <c r="Q31" i="54"/>
  <c r="Q50" i="54" s="1"/>
  <c r="Q17" i="53"/>
  <c r="AA17" i="53" s="1"/>
  <c r="AE17" i="53" s="1"/>
  <c r="AP10" i="53"/>
  <c r="AQ10" i="53"/>
  <c r="AQ28" i="53" s="1"/>
  <c r="M27" i="40" s="1"/>
  <c r="Q10" i="53"/>
  <c r="AN10" i="53"/>
  <c r="AN28" i="53" s="1"/>
  <c r="J27" i="40" s="1"/>
  <c r="AM10" i="53"/>
  <c r="AL10" i="53"/>
  <c r="AL28" i="53" s="1"/>
  <c r="H27" i="40" s="1"/>
  <c r="AK10" i="53"/>
  <c r="AK28" i="53" s="1"/>
  <c r="G27" i="40" s="1"/>
  <c r="AN12" i="53"/>
  <c r="AM12" i="53"/>
  <c r="X12" i="53" s="1"/>
  <c r="Q12" i="53"/>
  <c r="BF19" i="53"/>
  <c r="AB19" i="53" s="1"/>
  <c r="AR19" i="53"/>
  <c r="AQ19" i="53"/>
  <c r="AP19" i="53"/>
  <c r="AN19" i="53"/>
  <c r="AM19" i="53"/>
  <c r="W19" i="53"/>
  <c r="BF15" i="53"/>
  <c r="BF28" i="53" s="1"/>
  <c r="AD27" i="40" s="1"/>
  <c r="AW15" i="53"/>
  <c r="AW28" i="53" s="1"/>
  <c r="T27" i="40" s="1"/>
  <c r="AV15" i="53"/>
  <c r="AV28" i="53" s="1"/>
  <c r="S27" i="40" s="1"/>
  <c r="AU15" i="53"/>
  <c r="AU28" i="53" s="1"/>
  <c r="R27" i="40" s="1"/>
  <c r="AT15" i="53"/>
  <c r="AT28" i="53" s="1"/>
  <c r="Q27" i="40" s="1"/>
  <c r="AS15" i="53"/>
  <c r="AS28" i="53" s="1"/>
  <c r="P27" i="40" s="1"/>
  <c r="AR15" i="53"/>
  <c r="AQ15" i="53"/>
  <c r="AP15" i="53"/>
  <c r="AN15" i="53"/>
  <c r="AM15" i="53"/>
  <c r="Q15" i="53"/>
  <c r="W15" i="53" s="1"/>
  <c r="W36" i="52"/>
  <c r="Q25" i="53" l="1"/>
  <c r="AR28" i="53"/>
  <c r="O27" i="40" s="1"/>
  <c r="AA12" i="53"/>
  <c r="W12" i="53" s="1"/>
  <c r="AP28" i="53"/>
  <c r="L27" i="40" s="1"/>
  <c r="AM28" i="53"/>
  <c r="I27" i="40" s="1"/>
  <c r="W10" i="53"/>
  <c r="W27" i="53" s="1"/>
  <c r="AB15" i="53"/>
  <c r="AB28" i="53" s="1"/>
  <c r="X36" i="52"/>
  <c r="E32" i="40"/>
  <c r="W31" i="54"/>
  <c r="W52" i="54" s="1"/>
  <c r="D32" i="40"/>
  <c r="AA19" i="53"/>
  <c r="X10" i="53"/>
  <c r="X15" i="53"/>
  <c r="X28" i="53" s="1"/>
  <c r="AA15" i="53"/>
  <c r="X101" i="51"/>
  <c r="AE19" i="53" l="1"/>
  <c r="AA27" i="53"/>
  <c r="AE15" i="53"/>
  <c r="W32" i="52"/>
  <c r="X32" i="52" s="1"/>
  <c r="W17" i="52"/>
  <c r="W15" i="52"/>
  <c r="W13" i="52"/>
  <c r="W19" i="52"/>
  <c r="W40" i="52"/>
  <c r="AW38" i="52"/>
  <c r="AV38" i="52"/>
  <c r="AU38" i="52"/>
  <c r="AU50" i="52" s="1"/>
  <c r="R12" i="40" s="1"/>
  <c r="AT38" i="52"/>
  <c r="AS38" i="52"/>
  <c r="AS50" i="52" s="1"/>
  <c r="P12" i="40" s="1"/>
  <c r="AR38" i="52"/>
  <c r="AQ38" i="52"/>
  <c r="AQ50" i="52" s="1"/>
  <c r="M12" i="40" s="1"/>
  <c r="AP38" i="52"/>
  <c r="AN38" i="52"/>
  <c r="AM38" i="52"/>
  <c r="W34" i="52"/>
  <c r="W22" i="52"/>
  <c r="W24" i="52"/>
  <c r="X24" i="52" s="1"/>
  <c r="BF50" i="52"/>
  <c r="AD12" i="40" s="1"/>
  <c r="AW50" i="52"/>
  <c r="T12" i="40" s="1"/>
  <c r="Q38" i="52" l="1"/>
  <c r="AE27" i="53"/>
  <c r="BH50" i="52"/>
  <c r="AF12" i="40" s="1"/>
  <c r="AR50" i="52"/>
  <c r="O12" i="40" s="1"/>
  <c r="AV50" i="52"/>
  <c r="S12" i="40" s="1"/>
  <c r="AP50" i="52"/>
  <c r="L12" i="40" s="1"/>
  <c r="AT50" i="52"/>
  <c r="Q12" i="40" s="1"/>
  <c r="AN50" i="52"/>
  <c r="J12" i="40" s="1"/>
  <c r="AB34" i="52"/>
  <c r="AB50" i="52" s="1"/>
  <c r="X19" i="52"/>
  <c r="AM50" i="52"/>
  <c r="I12" i="40" s="1"/>
  <c r="AL32" i="52"/>
  <c r="AK32" i="52"/>
  <c r="X38" i="52"/>
  <c r="W38" i="52" s="1"/>
  <c r="AA38" i="52" s="1"/>
  <c r="X17" i="52"/>
  <c r="AA17" i="52" s="1"/>
  <c r="AE17" i="52" s="1"/>
  <c r="X13" i="52"/>
  <c r="X34" i="52"/>
  <c r="AA34" i="52" s="1"/>
  <c r="W49" i="52" l="1"/>
  <c r="AL50" i="52"/>
  <c r="H12" i="40" s="1"/>
  <c r="AK50" i="52"/>
  <c r="G12" i="40" s="1"/>
  <c r="X15" i="52"/>
  <c r="AA15" i="52" s="1"/>
  <c r="AA49" i="52" s="1"/>
  <c r="X22" i="52"/>
  <c r="AF7" i="40"/>
  <c r="AF9" i="40" s="1"/>
  <c r="AE7" i="40"/>
  <c r="AD7" i="40"/>
  <c r="AD9" i="40" s="1"/>
  <c r="AB7" i="40"/>
  <c r="AA7" i="40"/>
  <c r="Z7" i="40"/>
  <c r="Y7" i="40"/>
  <c r="X7" i="40"/>
  <c r="W7" i="40"/>
  <c r="V7" i="40"/>
  <c r="U7" i="40"/>
  <c r="T7" i="40"/>
  <c r="S7" i="40"/>
  <c r="R7" i="40"/>
  <c r="Q7" i="40"/>
  <c r="P7" i="40"/>
  <c r="X50" i="52" l="1"/>
  <c r="AE15" i="52"/>
  <c r="AE49" i="52" s="1"/>
  <c r="AC7" i="40"/>
  <c r="W44" i="51"/>
  <c r="X44" i="51" s="1"/>
  <c r="AS88" i="51"/>
  <c r="AR88" i="51"/>
  <c r="AQ88" i="51"/>
  <c r="W88" i="51"/>
  <c r="X90" i="51" l="1"/>
  <c r="AA88" i="51"/>
  <c r="W101" i="51"/>
  <c r="AA101" i="51" s="1"/>
  <c r="W93" i="51"/>
  <c r="AR42" i="51"/>
  <c r="M6" i="40" s="1"/>
  <c r="AQ42" i="51"/>
  <c r="AO42" i="51"/>
  <c r="W83" i="51"/>
  <c r="W81" i="51"/>
  <c r="AA81" i="51" s="1"/>
  <c r="W77" i="51"/>
  <c r="AA77" i="51" s="1"/>
  <c r="AE77" i="51" s="1"/>
  <c r="W69" i="51"/>
  <c r="AA69" i="51" s="1"/>
  <c r="AE69" i="51" s="1"/>
  <c r="W67" i="51"/>
  <c r="AA67" i="51" s="1"/>
  <c r="AE67" i="51" s="1"/>
  <c r="AS91" i="51" l="1"/>
  <c r="O6" i="40" s="1"/>
  <c r="AR91" i="51"/>
  <c r="AQ91" i="51"/>
  <c r="AQ119" i="51" s="1"/>
  <c r="AO91" i="51"/>
  <c r="AO119" i="51" s="1"/>
  <c r="AN91" i="51"/>
  <c r="AL91" i="51"/>
  <c r="AM91" i="51"/>
  <c r="AM119" i="51" s="1"/>
  <c r="Q42" i="51"/>
  <c r="X93" i="51"/>
  <c r="AM93" i="51" s="1"/>
  <c r="AE101" i="51"/>
  <c r="W65" i="51"/>
  <c r="W63" i="51"/>
  <c r="AA63" i="51" s="1"/>
  <c r="AE63" i="51" s="1"/>
  <c r="W61" i="51"/>
  <c r="AA61" i="51" s="1"/>
  <c r="AE61" i="51" s="1"/>
  <c r="W59" i="51"/>
  <c r="AA59" i="51" s="1"/>
  <c r="AE59" i="51" s="1"/>
  <c r="W57" i="51"/>
  <c r="AA57" i="51" s="1"/>
  <c r="AE57" i="51" s="1"/>
  <c r="W55" i="51"/>
  <c r="AA55" i="51" s="1"/>
  <c r="AE55" i="51" s="1"/>
  <c r="W47" i="51"/>
  <c r="AA47" i="51" s="1"/>
  <c r="AE47" i="51" s="1"/>
  <c r="AL93" i="51" l="1"/>
  <c r="G6" i="40" s="1"/>
  <c r="AN119" i="51"/>
  <c r="I6" i="40"/>
  <c r="AG91" i="51"/>
  <c r="H6" i="40"/>
  <c r="D6" i="40"/>
  <c r="X42" i="51"/>
  <c r="W42" i="51"/>
  <c r="J6" i="40"/>
  <c r="G53" i="40" l="1"/>
  <c r="I7" i="40"/>
  <c r="J7" i="40"/>
  <c r="G69" i="40"/>
  <c r="I69" i="40"/>
  <c r="M67" i="40"/>
  <c r="J67" i="40"/>
  <c r="I67" i="40"/>
  <c r="H67" i="40"/>
  <c r="G67" i="40"/>
  <c r="L65" i="40"/>
  <c r="L67" i="40" s="1"/>
  <c r="E6" i="40" l="1"/>
  <c r="W7" i="39"/>
  <c r="W17" i="39" l="1"/>
  <c r="E9" i="40"/>
  <c r="E42" i="40"/>
  <c r="D42" i="40" l="1"/>
  <c r="AC42" i="40"/>
  <c r="N42" i="40"/>
  <c r="F42" i="40" l="1"/>
  <c r="AH42" i="40" s="1"/>
  <c r="AI42" i="40" s="1"/>
  <c r="E17" i="40"/>
  <c r="D17" i="40"/>
  <c r="AC17" i="40" l="1"/>
  <c r="N17" i="40" l="1"/>
  <c r="F17" i="40" l="1"/>
  <c r="AH17" i="40" s="1"/>
  <c r="AI17" i="40" s="1"/>
  <c r="E27" i="40" l="1"/>
  <c r="D27" i="40"/>
  <c r="E12" i="40"/>
  <c r="D12" i="40"/>
  <c r="E47" i="40"/>
  <c r="D47" i="40"/>
  <c r="AF48" i="40"/>
  <c r="Y48" i="40"/>
  <c r="X50" i="40"/>
  <c r="W48" i="40"/>
  <c r="U48" i="40"/>
  <c r="S48" i="40"/>
  <c r="Q48" i="40"/>
  <c r="O48" i="40"/>
  <c r="I48" i="40"/>
  <c r="G48" i="40"/>
  <c r="Z43" i="40"/>
  <c r="X43" i="40"/>
  <c r="T43" i="40"/>
  <c r="R43" i="40"/>
  <c r="P43" i="40"/>
  <c r="AB38" i="40"/>
  <c r="X38" i="40"/>
  <c r="V38" i="40"/>
  <c r="AF33" i="40"/>
  <c r="N32" i="40"/>
  <c r="K60" i="40"/>
  <c r="K56" i="40"/>
  <c r="AF23" i="40"/>
  <c r="AC23" i="40" s="1"/>
  <c r="AA23" i="40"/>
  <c r="W23" i="40"/>
  <c r="U23" i="40"/>
  <c r="S23" i="40"/>
  <c r="Q23" i="40"/>
  <c r="AD56" i="40"/>
  <c r="AD58" i="40" s="1"/>
  <c r="AF13" i="40"/>
  <c r="AC13" i="40" s="1"/>
  <c r="BE7" i="49"/>
  <c r="BE9" i="49" s="1"/>
  <c r="Y50" i="40" s="1"/>
  <c r="Y51" i="40" s="1"/>
  <c r="BA7" i="49"/>
  <c r="BA9" i="49" s="1"/>
  <c r="V50" i="40" s="1"/>
  <c r="AK7" i="49"/>
  <c r="AK9" i="49" s="1"/>
  <c r="BN5" i="49"/>
  <c r="BJ5" i="49"/>
  <c r="BJ7" i="49" s="1"/>
  <c r="BI5" i="49"/>
  <c r="AB48" i="40" s="1"/>
  <c r="BH5" i="49"/>
  <c r="BH7" i="49" s="1"/>
  <c r="BH9" i="49" s="1"/>
  <c r="BG5" i="49"/>
  <c r="AA48" i="40" s="1"/>
  <c r="BF5" i="49"/>
  <c r="BF7" i="49" s="1"/>
  <c r="BE5" i="49"/>
  <c r="BD5" i="49"/>
  <c r="BD7" i="49" s="1"/>
  <c r="BD9" i="49" s="1"/>
  <c r="BC5" i="49"/>
  <c r="BB5" i="49"/>
  <c r="BB7" i="49" s="1"/>
  <c r="BA5" i="49"/>
  <c r="V48" i="40" s="1"/>
  <c r="AZ5" i="49"/>
  <c r="AZ7" i="49" s="1"/>
  <c r="AZ9" i="49" s="1"/>
  <c r="U50" i="40" s="1"/>
  <c r="AY5" i="49"/>
  <c r="AX5" i="49"/>
  <c r="AX7" i="49" s="1"/>
  <c r="AV5" i="49"/>
  <c r="AV7" i="49" s="1"/>
  <c r="AV9" i="49" s="1"/>
  <c r="S50" i="40" s="1"/>
  <c r="AU5" i="49"/>
  <c r="AT5" i="49"/>
  <c r="AS5" i="49"/>
  <c r="AS7" i="49" s="1"/>
  <c r="AS9" i="49" s="1"/>
  <c r="AR5" i="49"/>
  <c r="AR7" i="49" s="1"/>
  <c r="AR9" i="49" s="1"/>
  <c r="Q50" i="40" s="1"/>
  <c r="Q51" i="40" s="1"/>
  <c r="AQ5" i="49"/>
  <c r="AP5" i="49"/>
  <c r="AO5" i="49"/>
  <c r="AO7" i="49" s="1"/>
  <c r="AO9" i="49" s="1"/>
  <c r="O50" i="40" s="1"/>
  <c r="AN5" i="49"/>
  <c r="AN7" i="49" s="1"/>
  <c r="AM5" i="49"/>
  <c r="AL5" i="49"/>
  <c r="AK5" i="49"/>
  <c r="AJ5" i="49"/>
  <c r="AJ7" i="49" s="1"/>
  <c r="AI5" i="49"/>
  <c r="AH5" i="49"/>
  <c r="K5" i="49"/>
  <c r="I5" i="49"/>
  <c r="E48" i="40" s="1"/>
  <c r="G5" i="49"/>
  <c r="D48" i="40" s="1"/>
  <c r="DI4" i="49"/>
  <c r="DH4" i="49"/>
  <c r="DG4" i="49"/>
  <c r="DF4" i="49"/>
  <c r="DE4" i="49"/>
  <c r="DD4" i="49"/>
  <c r="DC4" i="49"/>
  <c r="DB4" i="49"/>
  <c r="DA4" i="49"/>
  <c r="CZ4" i="49"/>
  <c r="CY4" i="49"/>
  <c r="CX4" i="49"/>
  <c r="CW4" i="49"/>
  <c r="CV4" i="49"/>
  <c r="CU4" i="49"/>
  <c r="CT4" i="49"/>
  <c r="CS4" i="49"/>
  <c r="CR4" i="49"/>
  <c r="CQ4" i="49"/>
  <c r="CP4" i="49"/>
  <c r="CO4" i="49"/>
  <c r="CN4" i="49"/>
  <c r="CM4" i="49"/>
  <c r="CL4" i="49"/>
  <c r="CK4" i="49"/>
  <c r="CJ4" i="49"/>
  <c r="CI4" i="49"/>
  <c r="CH4" i="49"/>
  <c r="CG4" i="49"/>
  <c r="CF4" i="49"/>
  <c r="CE4" i="49"/>
  <c r="CD4" i="49"/>
  <c r="CC4" i="49"/>
  <c r="CB4" i="49"/>
  <c r="CA4" i="49"/>
  <c r="BZ4" i="49"/>
  <c r="BY4" i="49"/>
  <c r="BX4" i="49"/>
  <c r="BW4" i="49"/>
  <c r="BV4" i="49"/>
  <c r="BU4" i="49"/>
  <c r="BT4" i="49"/>
  <c r="BS4" i="49"/>
  <c r="BR4" i="49"/>
  <c r="BQ4" i="49"/>
  <c r="BP4" i="49"/>
  <c r="BO4" i="49"/>
  <c r="BN4" i="49"/>
  <c r="BK4" i="49"/>
  <c r="DI3" i="49"/>
  <c r="DH3" i="49"/>
  <c r="DG3" i="49"/>
  <c r="DF3" i="49"/>
  <c r="DE3" i="49"/>
  <c r="DD3" i="49"/>
  <c r="DC3" i="49"/>
  <c r="DB3" i="49"/>
  <c r="DA3" i="49"/>
  <c r="CZ3" i="49"/>
  <c r="CY3" i="49"/>
  <c r="CX3" i="49"/>
  <c r="CW3" i="49"/>
  <c r="CV3" i="49"/>
  <c r="CU3" i="49"/>
  <c r="CT3" i="49"/>
  <c r="CS3" i="49"/>
  <c r="CR3" i="49"/>
  <c r="CQ3" i="49"/>
  <c r="CP3" i="49"/>
  <c r="CO3" i="49"/>
  <c r="CN3" i="49"/>
  <c r="CM3" i="49"/>
  <c r="CL3" i="49"/>
  <c r="CK3" i="49"/>
  <c r="CJ3" i="49"/>
  <c r="CI3" i="49"/>
  <c r="CH3" i="49"/>
  <c r="CG3" i="49"/>
  <c r="CF3" i="49"/>
  <c r="CE3" i="49"/>
  <c r="CD3" i="49"/>
  <c r="CC3" i="49"/>
  <c r="CB3" i="49"/>
  <c r="CA3" i="49"/>
  <c r="BZ3" i="49"/>
  <c r="BY3" i="49"/>
  <c r="BX3" i="49"/>
  <c r="BW3" i="49"/>
  <c r="BV3" i="49"/>
  <c r="BU3" i="49"/>
  <c r="BT3" i="49"/>
  <c r="BS3" i="49"/>
  <c r="BS5" i="49" s="1"/>
  <c r="BR3" i="49"/>
  <c r="BR5" i="49" s="1"/>
  <c r="BQ3" i="49"/>
  <c r="BP3" i="49"/>
  <c r="BP5" i="49" s="1"/>
  <c r="BO3" i="49"/>
  <c r="BO5" i="49" s="1"/>
  <c r="BN3" i="49"/>
  <c r="BK3" i="49"/>
  <c r="AW3" i="49"/>
  <c r="AW5" i="49" s="1"/>
  <c r="J3" i="49"/>
  <c r="DI2" i="49"/>
  <c r="DI5" i="49" s="1"/>
  <c r="DH2" i="49"/>
  <c r="DH5" i="49" s="1"/>
  <c r="DG2" i="49"/>
  <c r="DF2" i="49"/>
  <c r="DF5" i="49" s="1"/>
  <c r="DE2" i="49"/>
  <c r="DE5" i="49" s="1"/>
  <c r="DD2" i="49"/>
  <c r="DD5" i="49" s="1"/>
  <c r="DC2" i="49"/>
  <c r="DB2" i="49"/>
  <c r="DB5" i="49" s="1"/>
  <c r="DA2" i="49"/>
  <c r="DA5" i="49" s="1"/>
  <c r="CZ2" i="49"/>
  <c r="CZ5" i="49" s="1"/>
  <c r="CY2" i="49"/>
  <c r="CX2" i="49"/>
  <c r="CX5" i="49" s="1"/>
  <c r="CW2" i="49"/>
  <c r="CW5" i="49" s="1"/>
  <c r="CV2" i="49"/>
  <c r="CV5" i="49" s="1"/>
  <c r="CU2" i="49"/>
  <c r="CT2" i="49"/>
  <c r="CT5" i="49" s="1"/>
  <c r="CS2" i="49"/>
  <c r="CS5" i="49" s="1"/>
  <c r="CR2" i="49"/>
  <c r="CR5" i="49" s="1"/>
  <c r="CQ2" i="49"/>
  <c r="CP2" i="49"/>
  <c r="CP5" i="49" s="1"/>
  <c r="CO2" i="49"/>
  <c r="CO5" i="49" s="1"/>
  <c r="CN2" i="49"/>
  <c r="CN5" i="49" s="1"/>
  <c r="CM2" i="49"/>
  <c r="CL2" i="49"/>
  <c r="CL5" i="49" s="1"/>
  <c r="CK2" i="49"/>
  <c r="CK5" i="49" s="1"/>
  <c r="CJ2" i="49"/>
  <c r="CJ5" i="49" s="1"/>
  <c r="CI2" i="49"/>
  <c r="CH2" i="49"/>
  <c r="CH5" i="49" s="1"/>
  <c r="CG2" i="49"/>
  <c r="CG5" i="49" s="1"/>
  <c r="CF2" i="49"/>
  <c r="CF5" i="49" s="1"/>
  <c r="CE2" i="49"/>
  <c r="CD2" i="49"/>
  <c r="CD5" i="49" s="1"/>
  <c r="CC2" i="49"/>
  <c r="CC5" i="49" s="1"/>
  <c r="CB2" i="49"/>
  <c r="CB5" i="49" s="1"/>
  <c r="CA2" i="49"/>
  <c r="BZ2" i="49"/>
  <c r="BZ5" i="49" s="1"/>
  <c r="BY2" i="49"/>
  <c r="BY5" i="49" s="1"/>
  <c r="BX2" i="49"/>
  <c r="BX5" i="49" s="1"/>
  <c r="BW2" i="49"/>
  <c r="BV2" i="49"/>
  <c r="BV5" i="49" s="1"/>
  <c r="BU2" i="49"/>
  <c r="BU5" i="49" s="1"/>
  <c r="BT2" i="49"/>
  <c r="BT5" i="49" s="1"/>
  <c r="BK2" i="49"/>
  <c r="BJ24" i="48"/>
  <c r="BB24" i="48"/>
  <c r="AT24" i="48"/>
  <c r="BJ22" i="48"/>
  <c r="BI22" i="48"/>
  <c r="AB43" i="40" s="1"/>
  <c r="BH22" i="48"/>
  <c r="BG22" i="48"/>
  <c r="AA43" i="40" s="1"/>
  <c r="BF22" i="48"/>
  <c r="BE22" i="48"/>
  <c r="Y43" i="40" s="1"/>
  <c r="BD22" i="48"/>
  <c r="BD24" i="48" s="1"/>
  <c r="BC22" i="48"/>
  <c r="BB22" i="48"/>
  <c r="BA22" i="48"/>
  <c r="V43" i="40" s="1"/>
  <c r="AZ22" i="48"/>
  <c r="U43" i="40" s="1"/>
  <c r="AY22" i="48"/>
  <c r="AX22" i="48"/>
  <c r="AW22" i="48"/>
  <c r="AV22" i="48"/>
  <c r="S43" i="40" s="1"/>
  <c r="AU22" i="48"/>
  <c r="AT22" i="48"/>
  <c r="AS22" i="48"/>
  <c r="AR22" i="48"/>
  <c r="Q43" i="40" s="1"/>
  <c r="AQ22" i="48"/>
  <c r="AP22" i="48"/>
  <c r="I22" i="48"/>
  <c r="E43" i="40" s="1"/>
  <c r="E44" i="40" s="1"/>
  <c r="G22" i="48"/>
  <c r="D43" i="40" s="1"/>
  <c r="D44" i="40" s="1"/>
  <c r="DC21" i="48"/>
  <c r="DB21" i="48"/>
  <c r="DA21" i="48"/>
  <c r="CZ21" i="48"/>
  <c r="CY21" i="48"/>
  <c r="CX21" i="48"/>
  <c r="CW21" i="48"/>
  <c r="CV21" i="48"/>
  <c r="CU21" i="48"/>
  <c r="CT21" i="48"/>
  <c r="CS21" i="48"/>
  <c r="CR21" i="48"/>
  <c r="J21" i="48"/>
  <c r="K21" i="48" s="1"/>
  <c r="AO21" i="48" s="1"/>
  <c r="DI20" i="48"/>
  <c r="DH20" i="48"/>
  <c r="DG20" i="48"/>
  <c r="DF20" i="48"/>
  <c r="DE20" i="48"/>
  <c r="DD20" i="48"/>
  <c r="CQ20" i="48"/>
  <c r="CP20" i="48"/>
  <c r="CO20" i="48"/>
  <c r="CN20" i="48"/>
  <c r="CM20" i="48"/>
  <c r="CL20" i="48"/>
  <c r="CK20" i="48"/>
  <c r="CJ20" i="48"/>
  <c r="CI20" i="48"/>
  <c r="CH20" i="48"/>
  <c r="CG20" i="48"/>
  <c r="CF20" i="48"/>
  <c r="CE20" i="48"/>
  <c r="CD20" i="48"/>
  <c r="CC20" i="48"/>
  <c r="CB20" i="48"/>
  <c r="CA20" i="48"/>
  <c r="BZ20" i="48"/>
  <c r="BY20" i="48"/>
  <c r="BX20" i="48"/>
  <c r="BW20" i="48"/>
  <c r="BV20" i="48"/>
  <c r="BU20" i="48"/>
  <c r="BT20" i="48"/>
  <c r="BS20" i="48"/>
  <c r="BR20" i="48"/>
  <c r="BQ20" i="48"/>
  <c r="BP20" i="48"/>
  <c r="BO20" i="48"/>
  <c r="BN20" i="48"/>
  <c r="AN20" i="48"/>
  <c r="CZ20" i="48" s="1"/>
  <c r="AM20" i="48"/>
  <c r="AM22" i="48" s="1"/>
  <c r="G43" i="40" s="1"/>
  <c r="J20" i="48"/>
  <c r="M20" i="48" s="1"/>
  <c r="M22" i="48" s="1"/>
  <c r="DI18" i="48"/>
  <c r="DH18" i="48"/>
  <c r="DG18" i="48"/>
  <c r="DF18" i="48"/>
  <c r="DE18" i="48"/>
  <c r="DD18" i="48"/>
  <c r="DC18" i="48"/>
  <c r="DB18" i="48"/>
  <c r="DA18" i="48"/>
  <c r="CZ18" i="48"/>
  <c r="CY18" i="48"/>
  <c r="CX18" i="48"/>
  <c r="CW18" i="48"/>
  <c r="CV18" i="48"/>
  <c r="CU18" i="48"/>
  <c r="CT18" i="48"/>
  <c r="CS18" i="48"/>
  <c r="CR18" i="48"/>
  <c r="CQ18" i="48"/>
  <c r="CP18" i="48"/>
  <c r="CO18" i="48"/>
  <c r="CN18" i="48"/>
  <c r="CM18" i="48"/>
  <c r="CL18" i="48"/>
  <c r="CK18" i="48"/>
  <c r="CJ18" i="48"/>
  <c r="CI18" i="48"/>
  <c r="CH18" i="48"/>
  <c r="CG18" i="48"/>
  <c r="CF18" i="48"/>
  <c r="CE18" i="48"/>
  <c r="CD18" i="48"/>
  <c r="CC18" i="48"/>
  <c r="CB18" i="48"/>
  <c r="CA18" i="48"/>
  <c r="BZ18" i="48"/>
  <c r="BY18" i="48"/>
  <c r="BX18" i="48"/>
  <c r="BW18" i="48"/>
  <c r="BV18" i="48"/>
  <c r="BU18" i="48"/>
  <c r="BT18" i="48"/>
  <c r="BS18" i="48"/>
  <c r="BR18" i="48"/>
  <c r="BQ18" i="48"/>
  <c r="BP18" i="48"/>
  <c r="BO18" i="48"/>
  <c r="BN18" i="48"/>
  <c r="BK18" i="48"/>
  <c r="DI17" i="48"/>
  <c r="DH17" i="48"/>
  <c r="DG17" i="48"/>
  <c r="DF17" i="48"/>
  <c r="DE17" i="48"/>
  <c r="DD17" i="48"/>
  <c r="DC17" i="48"/>
  <c r="DB17" i="48"/>
  <c r="DA17" i="48"/>
  <c r="CZ17" i="48"/>
  <c r="CY17" i="48"/>
  <c r="CX17" i="48"/>
  <c r="CW17" i="48"/>
  <c r="CV17" i="48"/>
  <c r="CU17" i="48"/>
  <c r="CT17" i="48"/>
  <c r="CS17" i="48"/>
  <c r="CR17" i="48"/>
  <c r="CQ17" i="48"/>
  <c r="CP17" i="48"/>
  <c r="CO17" i="48"/>
  <c r="CN17" i="48"/>
  <c r="CM17" i="48"/>
  <c r="CL17" i="48"/>
  <c r="CK17" i="48"/>
  <c r="CJ17" i="48"/>
  <c r="CI17" i="48"/>
  <c r="CH17" i="48"/>
  <c r="CG17" i="48"/>
  <c r="CF17" i="48"/>
  <c r="CE17" i="48"/>
  <c r="CD17" i="48"/>
  <c r="CC17" i="48"/>
  <c r="CB17" i="48"/>
  <c r="CA17" i="48"/>
  <c r="BZ17" i="48"/>
  <c r="BY17" i="48"/>
  <c r="BX17" i="48"/>
  <c r="BW17" i="48"/>
  <c r="BV17" i="48"/>
  <c r="BU17" i="48"/>
  <c r="BT17" i="48"/>
  <c r="BS17" i="48"/>
  <c r="BR17" i="48"/>
  <c r="BQ17" i="48"/>
  <c r="BP17" i="48"/>
  <c r="BO17" i="48"/>
  <c r="BN17" i="48"/>
  <c r="BK17" i="48"/>
  <c r="DI16" i="48"/>
  <c r="DH16" i="48"/>
  <c r="DG16" i="48"/>
  <c r="DF16" i="48"/>
  <c r="DE16" i="48"/>
  <c r="DD16" i="48"/>
  <c r="DC16" i="48"/>
  <c r="DB16" i="48"/>
  <c r="DA16" i="48"/>
  <c r="CZ16" i="48"/>
  <c r="CY16" i="48"/>
  <c r="CX16" i="48"/>
  <c r="CW16" i="48"/>
  <c r="CV16" i="48"/>
  <c r="CU16" i="48"/>
  <c r="CT16" i="48"/>
  <c r="CS16" i="48"/>
  <c r="CR16" i="48"/>
  <c r="CQ16" i="48"/>
  <c r="CP16" i="48"/>
  <c r="CO16" i="48"/>
  <c r="CN16" i="48"/>
  <c r="CM16" i="48"/>
  <c r="CL16" i="48"/>
  <c r="CK16" i="48"/>
  <c r="CJ16" i="48"/>
  <c r="CI16" i="48"/>
  <c r="CH16" i="48"/>
  <c r="CG16" i="48"/>
  <c r="CF16" i="48"/>
  <c r="CE16" i="48"/>
  <c r="CD16" i="48"/>
  <c r="CC16" i="48"/>
  <c r="CB16" i="48"/>
  <c r="CA16" i="48"/>
  <c r="BZ16" i="48"/>
  <c r="BY16" i="48"/>
  <c r="BX16" i="48"/>
  <c r="BW16" i="48"/>
  <c r="BV16" i="48"/>
  <c r="BU16" i="48"/>
  <c r="BT16" i="48"/>
  <c r="BS16" i="48"/>
  <c r="BR16" i="48"/>
  <c r="BQ16" i="48"/>
  <c r="BP16" i="48"/>
  <c r="BO16" i="48"/>
  <c r="BN16" i="48"/>
  <c r="BK16" i="48"/>
  <c r="DI14" i="48"/>
  <c r="DH14" i="48"/>
  <c r="DG14" i="48"/>
  <c r="DF14" i="48"/>
  <c r="DE14" i="48"/>
  <c r="DD14" i="48"/>
  <c r="DC14" i="48"/>
  <c r="DB14" i="48"/>
  <c r="DA14" i="48"/>
  <c r="CZ14" i="48"/>
  <c r="CY14" i="48"/>
  <c r="CX14" i="48"/>
  <c r="CW14" i="48"/>
  <c r="CV14" i="48"/>
  <c r="CU14" i="48"/>
  <c r="CT14" i="48"/>
  <c r="CS14" i="48"/>
  <c r="CR14" i="48"/>
  <c r="CQ14" i="48"/>
  <c r="CP14" i="48"/>
  <c r="CO14" i="48"/>
  <c r="CN14" i="48"/>
  <c r="CM14" i="48"/>
  <c r="CL14" i="48"/>
  <c r="CK14" i="48"/>
  <c r="CJ14" i="48"/>
  <c r="CI14" i="48"/>
  <c r="CH14" i="48"/>
  <c r="CG14" i="48"/>
  <c r="CF14" i="48"/>
  <c r="CE14" i="48"/>
  <c r="CD14" i="48"/>
  <c r="CC14" i="48"/>
  <c r="CB14" i="48"/>
  <c r="CA14" i="48"/>
  <c r="BZ14" i="48"/>
  <c r="BK14" i="48"/>
  <c r="DI13" i="48"/>
  <c r="DH13" i="48"/>
  <c r="DG13" i="48"/>
  <c r="DF13" i="48"/>
  <c r="DE13" i="48"/>
  <c r="DD13" i="48"/>
  <c r="DC13" i="48"/>
  <c r="DB13" i="48"/>
  <c r="DA13" i="48"/>
  <c r="CZ13" i="48"/>
  <c r="CY13" i="48"/>
  <c r="CX13" i="48"/>
  <c r="CW13" i="48"/>
  <c r="CV13" i="48"/>
  <c r="CU13" i="48"/>
  <c r="CT13" i="48"/>
  <c r="CS13" i="48"/>
  <c r="CR13" i="48"/>
  <c r="CQ13" i="48"/>
  <c r="CP13" i="48"/>
  <c r="CO13" i="48"/>
  <c r="CN13" i="48"/>
  <c r="CM13" i="48"/>
  <c r="CL13" i="48"/>
  <c r="CK13" i="48"/>
  <c r="CJ13" i="48"/>
  <c r="CI13" i="48"/>
  <c r="CH13" i="48"/>
  <c r="CG13" i="48"/>
  <c r="CF13" i="48"/>
  <c r="CE13" i="48"/>
  <c r="CD13" i="48"/>
  <c r="CC13" i="48"/>
  <c r="CB13" i="48"/>
  <c r="CA13" i="48"/>
  <c r="BZ13" i="48"/>
  <c r="BY13" i="48"/>
  <c r="BX13" i="48"/>
  <c r="BW13" i="48"/>
  <c r="BV13" i="48"/>
  <c r="BU13" i="48"/>
  <c r="BT13" i="48"/>
  <c r="BS13" i="48"/>
  <c r="BR13" i="48"/>
  <c r="BQ13" i="48"/>
  <c r="BP13" i="48"/>
  <c r="BO13" i="48"/>
  <c r="BN13" i="48"/>
  <c r="BK13" i="48"/>
  <c r="DI12" i="48"/>
  <c r="DH12" i="48"/>
  <c r="DG12" i="48"/>
  <c r="DF12" i="48"/>
  <c r="DE12" i="48"/>
  <c r="DD12" i="48"/>
  <c r="DC12" i="48"/>
  <c r="DB12" i="48"/>
  <c r="DA12" i="48"/>
  <c r="CZ12" i="48"/>
  <c r="CY12" i="48"/>
  <c r="CX12" i="48"/>
  <c r="CW12" i="48"/>
  <c r="CV12" i="48"/>
  <c r="CU12" i="48"/>
  <c r="CT12" i="48"/>
  <c r="CS12" i="48"/>
  <c r="CR12" i="48"/>
  <c r="CQ12" i="48"/>
  <c r="CP12" i="48"/>
  <c r="CO12" i="48"/>
  <c r="CN12" i="48"/>
  <c r="CM12" i="48"/>
  <c r="CL12" i="48"/>
  <c r="CK12" i="48"/>
  <c r="CJ12" i="48"/>
  <c r="CI12" i="48"/>
  <c r="CH12" i="48"/>
  <c r="CG12" i="48"/>
  <c r="CF12" i="48"/>
  <c r="CE12" i="48"/>
  <c r="CD12" i="48"/>
  <c r="CC12" i="48"/>
  <c r="CB12" i="48"/>
  <c r="CA12" i="48"/>
  <c r="BZ12" i="48"/>
  <c r="BY12" i="48"/>
  <c r="BX12" i="48"/>
  <c r="BW12" i="48"/>
  <c r="BV12" i="48"/>
  <c r="BU12" i="48"/>
  <c r="BT12" i="48"/>
  <c r="BS12" i="48"/>
  <c r="BR12" i="48"/>
  <c r="BQ12" i="48"/>
  <c r="BP12" i="48"/>
  <c r="BO12" i="48"/>
  <c r="BN12" i="48"/>
  <c r="DI11" i="48"/>
  <c r="DH11" i="48"/>
  <c r="DG11" i="48"/>
  <c r="DF11" i="48"/>
  <c r="DE11" i="48"/>
  <c r="DD11" i="48"/>
  <c r="DC11" i="48"/>
  <c r="DB11" i="48"/>
  <c r="DA11" i="48"/>
  <c r="CZ11" i="48"/>
  <c r="CY11" i="48"/>
  <c r="CX11" i="48"/>
  <c r="CW11" i="48"/>
  <c r="CV11" i="48"/>
  <c r="CU11" i="48"/>
  <c r="CT11" i="48"/>
  <c r="CS11" i="48"/>
  <c r="CR11" i="48"/>
  <c r="CQ11" i="48"/>
  <c r="CP11" i="48"/>
  <c r="CO11" i="48"/>
  <c r="CN11" i="48"/>
  <c r="CM11" i="48"/>
  <c r="CL11" i="48"/>
  <c r="CK11" i="48"/>
  <c r="CJ11" i="48"/>
  <c r="CI11" i="48"/>
  <c r="CH11" i="48"/>
  <c r="CG11" i="48"/>
  <c r="CF11" i="48"/>
  <c r="CE11" i="48"/>
  <c r="CD11" i="48"/>
  <c r="CC11" i="48"/>
  <c r="CB11" i="48"/>
  <c r="CA11" i="48"/>
  <c r="BZ11" i="48"/>
  <c r="BY11" i="48"/>
  <c r="BX11" i="48"/>
  <c r="BW11" i="48"/>
  <c r="BV11" i="48"/>
  <c r="BU11" i="48"/>
  <c r="BT11" i="48"/>
  <c r="BS11" i="48"/>
  <c r="BR11" i="48"/>
  <c r="BQ11" i="48"/>
  <c r="BP11" i="48"/>
  <c r="BO11" i="48"/>
  <c r="BN11" i="48"/>
  <c r="BK11" i="48"/>
  <c r="K11" i="48"/>
  <c r="DI10" i="48"/>
  <c r="DH10" i="48"/>
  <c r="DG10" i="48"/>
  <c r="DF10" i="48"/>
  <c r="DE10" i="48"/>
  <c r="DD10" i="48"/>
  <c r="DC10" i="48"/>
  <c r="DB10" i="48"/>
  <c r="DA10" i="48"/>
  <c r="CZ10" i="48"/>
  <c r="CY10" i="48"/>
  <c r="CX10" i="48"/>
  <c r="CW10" i="48"/>
  <c r="CV10" i="48"/>
  <c r="CU10" i="48"/>
  <c r="CT10" i="48"/>
  <c r="CS10" i="48"/>
  <c r="CR10" i="48"/>
  <c r="CE10" i="48"/>
  <c r="CD10" i="48"/>
  <c r="CC10" i="48"/>
  <c r="CB10" i="48"/>
  <c r="CA10" i="48"/>
  <c r="BZ10" i="48"/>
  <c r="BY10" i="48"/>
  <c r="BX10" i="48"/>
  <c r="BW10" i="48"/>
  <c r="BV10" i="48"/>
  <c r="BU10" i="48"/>
  <c r="BT10" i="48"/>
  <c r="BS10" i="48"/>
  <c r="BR10" i="48"/>
  <c r="BQ10" i="48"/>
  <c r="BP10" i="48"/>
  <c r="BO10" i="48"/>
  <c r="BN10" i="48"/>
  <c r="BK10" i="48"/>
  <c r="DI9" i="48"/>
  <c r="DH9" i="48"/>
  <c r="DG9" i="48"/>
  <c r="DF9" i="48"/>
  <c r="DE9" i="48"/>
  <c r="DD9" i="48"/>
  <c r="DC9" i="48"/>
  <c r="DB9" i="48"/>
  <c r="DA9" i="48"/>
  <c r="CZ9" i="48"/>
  <c r="CY9" i="48"/>
  <c r="CX9" i="48"/>
  <c r="CW9" i="48"/>
  <c r="CV9" i="48"/>
  <c r="CU9" i="48"/>
  <c r="CT9" i="48"/>
  <c r="CS9" i="48"/>
  <c r="CR9" i="48"/>
  <c r="CQ9" i="48"/>
  <c r="CP9" i="48"/>
  <c r="CO9" i="48"/>
  <c r="CN9" i="48"/>
  <c r="CM9" i="48"/>
  <c r="CL9" i="48"/>
  <c r="CK9" i="48"/>
  <c r="CJ9" i="48"/>
  <c r="CI9" i="48"/>
  <c r="CH9" i="48"/>
  <c r="CG9" i="48"/>
  <c r="CF9" i="48"/>
  <c r="CE9" i="48"/>
  <c r="CD9" i="48"/>
  <c r="CC9" i="48"/>
  <c r="CB9" i="48"/>
  <c r="CA9" i="48"/>
  <c r="BZ9" i="48"/>
  <c r="BY9" i="48"/>
  <c r="BX9" i="48"/>
  <c r="BW9" i="48"/>
  <c r="BV9" i="48"/>
  <c r="BU9" i="48"/>
  <c r="BT9" i="48"/>
  <c r="BS9" i="48"/>
  <c r="BR9" i="48"/>
  <c r="BQ9" i="48"/>
  <c r="BP9" i="48"/>
  <c r="BO9" i="48"/>
  <c r="BN9" i="48"/>
  <c r="BK9" i="48"/>
  <c r="J9" i="48"/>
  <c r="DI8" i="48"/>
  <c r="DH8" i="48"/>
  <c r="DG8" i="48"/>
  <c r="DF8" i="48"/>
  <c r="DE8" i="48"/>
  <c r="DD8" i="48"/>
  <c r="DC8" i="48"/>
  <c r="DB8" i="48"/>
  <c r="DA8" i="48"/>
  <c r="CZ8" i="48"/>
  <c r="CY8" i="48"/>
  <c r="CX8" i="48"/>
  <c r="CW8" i="48"/>
  <c r="CV8" i="48"/>
  <c r="CU8" i="48"/>
  <c r="CT8" i="48"/>
  <c r="CS8" i="48"/>
  <c r="CR8" i="48"/>
  <c r="CQ8" i="48"/>
  <c r="CP8" i="48"/>
  <c r="CO8" i="48"/>
  <c r="CN8" i="48"/>
  <c r="CM8" i="48"/>
  <c r="CL8" i="48"/>
  <c r="CK8" i="48"/>
  <c r="CJ8" i="48"/>
  <c r="CI8" i="48"/>
  <c r="CH8" i="48"/>
  <c r="CG8" i="48"/>
  <c r="CF8" i="48"/>
  <c r="CE8" i="48"/>
  <c r="CD8" i="48"/>
  <c r="CC8" i="48"/>
  <c r="CB8" i="48"/>
  <c r="CA8" i="48"/>
  <c r="BZ8" i="48"/>
  <c r="BY8" i="48"/>
  <c r="BX8" i="48"/>
  <c r="BW8" i="48"/>
  <c r="BV8" i="48"/>
  <c r="BU8" i="48"/>
  <c r="BT8" i="48"/>
  <c r="BS8" i="48"/>
  <c r="BR8" i="48"/>
  <c r="BQ8" i="48"/>
  <c r="BP8" i="48"/>
  <c r="BO8" i="48"/>
  <c r="BN8" i="48"/>
  <c r="BK8" i="48"/>
  <c r="J8" i="48"/>
  <c r="DI7" i="48"/>
  <c r="DH7" i="48"/>
  <c r="DG7" i="48"/>
  <c r="DF7" i="48"/>
  <c r="DE7" i="48"/>
  <c r="DD7" i="48"/>
  <c r="DC7" i="48"/>
  <c r="DB7" i="48"/>
  <c r="DA7" i="48"/>
  <c r="CZ7" i="48"/>
  <c r="CY7" i="48"/>
  <c r="CX7" i="48"/>
  <c r="CW7" i="48"/>
  <c r="CV7" i="48"/>
  <c r="CU7" i="48"/>
  <c r="CT7" i="48"/>
  <c r="CS7" i="48"/>
  <c r="CR7" i="48"/>
  <c r="CQ7" i="48"/>
  <c r="CP7" i="48"/>
  <c r="CO7" i="48"/>
  <c r="CN7" i="48"/>
  <c r="CM7" i="48"/>
  <c r="CL7" i="48"/>
  <c r="CK7" i="48"/>
  <c r="CJ7" i="48"/>
  <c r="CI7" i="48"/>
  <c r="CH7" i="48"/>
  <c r="CG7" i="48"/>
  <c r="CF7" i="48"/>
  <c r="CE7" i="48"/>
  <c r="CD7" i="48"/>
  <c r="CC7" i="48"/>
  <c r="CB7" i="48"/>
  <c r="CA7" i="48"/>
  <c r="BZ7" i="48"/>
  <c r="BY7" i="48"/>
  <c r="BX7" i="48"/>
  <c r="BW7" i="48"/>
  <c r="BV7" i="48"/>
  <c r="BU7" i="48"/>
  <c r="BT7" i="48"/>
  <c r="BS7" i="48"/>
  <c r="BR7" i="48"/>
  <c r="BQ7" i="48"/>
  <c r="BP7" i="48"/>
  <c r="BO7" i="48"/>
  <c r="BN7" i="48"/>
  <c r="BK7" i="48"/>
  <c r="J7" i="48"/>
  <c r="DI6" i="48"/>
  <c r="DH6" i="48"/>
  <c r="DG6" i="48"/>
  <c r="DF6" i="48"/>
  <c r="DE6" i="48"/>
  <c r="DD6" i="48"/>
  <c r="DC6" i="48"/>
  <c r="DB6" i="48"/>
  <c r="DA6" i="48"/>
  <c r="CZ6" i="48"/>
  <c r="CY6" i="48"/>
  <c r="CX6" i="48"/>
  <c r="CW6" i="48"/>
  <c r="CV6" i="48"/>
  <c r="CU6" i="48"/>
  <c r="CT6" i="48"/>
  <c r="CS6" i="48"/>
  <c r="CR6" i="48"/>
  <c r="CQ6" i="48"/>
  <c r="CP6" i="48"/>
  <c r="CO6" i="48"/>
  <c r="CN6" i="48"/>
  <c r="CM6" i="48"/>
  <c r="CL6" i="48"/>
  <c r="CK6" i="48"/>
  <c r="CJ6" i="48"/>
  <c r="CI6" i="48"/>
  <c r="CH6" i="48"/>
  <c r="CG6" i="48"/>
  <c r="CF6" i="48"/>
  <c r="CE6" i="48"/>
  <c r="CD6" i="48"/>
  <c r="CC6" i="48"/>
  <c r="CB6" i="48"/>
  <c r="CA6" i="48"/>
  <c r="BZ6" i="48"/>
  <c r="BY6" i="48"/>
  <c r="BX6" i="48"/>
  <c r="BW6" i="48"/>
  <c r="BV6" i="48"/>
  <c r="BU6" i="48"/>
  <c r="BT6" i="48"/>
  <c r="BS6" i="48"/>
  <c r="BR6" i="48"/>
  <c r="BQ6" i="48"/>
  <c r="BP6" i="48"/>
  <c r="BO6" i="48"/>
  <c r="BN6" i="48"/>
  <c r="BK6" i="48"/>
  <c r="J6" i="48"/>
  <c r="DI4" i="48"/>
  <c r="DH4" i="48"/>
  <c r="DG4" i="48"/>
  <c r="DF4" i="48"/>
  <c r="DE4" i="48"/>
  <c r="DD4" i="48"/>
  <c r="DC4" i="48"/>
  <c r="DB4" i="48"/>
  <c r="DA4" i="48"/>
  <c r="CZ4" i="48"/>
  <c r="CY4" i="48"/>
  <c r="CX4" i="48"/>
  <c r="CW4" i="48"/>
  <c r="CV4" i="48"/>
  <c r="CU4" i="48"/>
  <c r="CT4" i="48"/>
  <c r="CS4" i="48"/>
  <c r="CR4" i="48"/>
  <c r="CQ4" i="48"/>
  <c r="CP4" i="48"/>
  <c r="CO4" i="48"/>
  <c r="CN4" i="48"/>
  <c r="CM4" i="48"/>
  <c r="CL4" i="48"/>
  <c r="CK4" i="48"/>
  <c r="CJ4" i="48"/>
  <c r="CI4" i="48"/>
  <c r="CH4" i="48"/>
  <c r="CG4" i="48"/>
  <c r="CF4" i="48"/>
  <c r="CE4" i="48"/>
  <c r="CD4" i="48"/>
  <c r="CC4" i="48"/>
  <c r="CB4" i="48"/>
  <c r="CA4" i="48"/>
  <c r="BZ4" i="48"/>
  <c r="BY4" i="48"/>
  <c r="BX4" i="48"/>
  <c r="BW4" i="48"/>
  <c r="BV4" i="48"/>
  <c r="BU4" i="48"/>
  <c r="BT4" i="48"/>
  <c r="BS4" i="48"/>
  <c r="BR4" i="48"/>
  <c r="BQ4" i="48"/>
  <c r="BP4" i="48"/>
  <c r="BO4" i="48"/>
  <c r="BN4" i="48"/>
  <c r="BK4" i="48"/>
  <c r="DI3" i="48"/>
  <c r="DH3" i="48"/>
  <c r="DG3" i="48"/>
  <c r="DF3" i="48"/>
  <c r="DE3" i="48"/>
  <c r="DD3" i="48"/>
  <c r="DC3" i="48"/>
  <c r="DB3" i="48"/>
  <c r="DA3" i="48"/>
  <c r="CZ3" i="48"/>
  <c r="CY3" i="48"/>
  <c r="CX3" i="48"/>
  <c r="CW3" i="48"/>
  <c r="CV3" i="48"/>
  <c r="CU3" i="48"/>
  <c r="CT3" i="48"/>
  <c r="CS3" i="48"/>
  <c r="CR3" i="48"/>
  <c r="CQ3" i="48"/>
  <c r="CP3" i="48"/>
  <c r="CO3" i="48"/>
  <c r="CN3" i="48"/>
  <c r="CM3" i="48"/>
  <c r="CL3" i="48"/>
  <c r="CK3" i="48"/>
  <c r="CJ3" i="48"/>
  <c r="CI3" i="48"/>
  <c r="CH3" i="48"/>
  <c r="CG3" i="48"/>
  <c r="CF3" i="48"/>
  <c r="CE3" i="48"/>
  <c r="CD3" i="48"/>
  <c r="CC3" i="48"/>
  <c r="CB3" i="48"/>
  <c r="CA3" i="48"/>
  <c r="BZ3" i="48"/>
  <c r="BY3" i="48"/>
  <c r="BX3" i="48"/>
  <c r="BW3" i="48"/>
  <c r="BV3" i="48"/>
  <c r="BU3" i="48"/>
  <c r="BT3" i="48"/>
  <c r="BS3" i="48"/>
  <c r="BR3" i="48"/>
  <c r="BQ3" i="48"/>
  <c r="BP3" i="48"/>
  <c r="BO3" i="48"/>
  <c r="BN3" i="48"/>
  <c r="BK3" i="48"/>
  <c r="BD6" i="47"/>
  <c r="AV6" i="47"/>
  <c r="BJ4" i="47"/>
  <c r="BI4" i="47"/>
  <c r="BH4" i="47"/>
  <c r="BG4" i="47"/>
  <c r="AA38" i="40" s="1"/>
  <c r="BF4" i="47"/>
  <c r="BE4" i="47"/>
  <c r="Y38" i="40" s="1"/>
  <c r="BD4" i="47"/>
  <c r="BC4" i="47"/>
  <c r="BB4" i="47"/>
  <c r="BA4" i="47"/>
  <c r="AZ4" i="47"/>
  <c r="AY4" i="47"/>
  <c r="AX4" i="47"/>
  <c r="AW4" i="47"/>
  <c r="AV4" i="47"/>
  <c r="AU4" i="47"/>
  <c r="AT4" i="47"/>
  <c r="AS4" i="47"/>
  <c r="AR4" i="47"/>
  <c r="AQ4" i="47"/>
  <c r="AP4" i="47"/>
  <c r="P38" i="40" s="1"/>
  <c r="I4" i="47"/>
  <c r="E38" i="40" s="1"/>
  <c r="E39" i="40" s="1"/>
  <c r="DI3" i="47"/>
  <c r="DH3" i="47"/>
  <c r="DG3" i="47"/>
  <c r="DF3" i="47"/>
  <c r="DE3" i="47"/>
  <c r="DD3" i="47"/>
  <c r="CQ3" i="47"/>
  <c r="CP3" i="47"/>
  <c r="CO3" i="47"/>
  <c r="CN3" i="47"/>
  <c r="CM3" i="47"/>
  <c r="CL3" i="47"/>
  <c r="CK3" i="47"/>
  <c r="CJ3" i="47"/>
  <c r="CI3" i="47"/>
  <c r="CH3" i="47"/>
  <c r="CG3" i="47"/>
  <c r="CF3" i="47"/>
  <c r="CE3" i="47"/>
  <c r="CD3" i="47"/>
  <c r="CC3" i="47"/>
  <c r="CB3" i="47"/>
  <c r="CA3" i="47"/>
  <c r="BZ3" i="47"/>
  <c r="BY3" i="47"/>
  <c r="BX3" i="47"/>
  <c r="BW3" i="47"/>
  <c r="BV3" i="47"/>
  <c r="BU3" i="47"/>
  <c r="BT3" i="47"/>
  <c r="BS3" i="47"/>
  <c r="BR3" i="47"/>
  <c r="BQ3" i="47"/>
  <c r="BP3" i="47"/>
  <c r="BO3" i="47"/>
  <c r="BN3" i="47"/>
  <c r="G3" i="47"/>
  <c r="J3" i="47" s="1"/>
  <c r="DC2" i="47"/>
  <c r="DB2" i="47"/>
  <c r="DA2" i="47"/>
  <c r="CZ2" i="47"/>
  <c r="CY2" i="47"/>
  <c r="CX2" i="47"/>
  <c r="CW2" i="47"/>
  <c r="CV2" i="47"/>
  <c r="CU2" i="47"/>
  <c r="CT2" i="47"/>
  <c r="CS2" i="47"/>
  <c r="CR2" i="47"/>
  <c r="G2" i="47"/>
  <c r="BJ52" i="46"/>
  <c r="BJ50" i="46"/>
  <c r="I50" i="46"/>
  <c r="E33" i="40" s="1"/>
  <c r="E34" i="40" s="1"/>
  <c r="DI49" i="46"/>
  <c r="DH49" i="46"/>
  <c r="DG49" i="46"/>
  <c r="DF49" i="46"/>
  <c r="DE49" i="46"/>
  <c r="DD49" i="46"/>
  <c r="DC49" i="46"/>
  <c r="DB49" i="46"/>
  <c r="DA49" i="46"/>
  <c r="CZ49" i="46"/>
  <c r="CY49" i="46"/>
  <c r="CX49" i="46"/>
  <c r="CW49" i="46"/>
  <c r="CV49" i="46"/>
  <c r="CU49" i="46"/>
  <c r="CT49" i="46"/>
  <c r="CS49" i="46"/>
  <c r="CR49" i="46"/>
  <c r="CQ49" i="46"/>
  <c r="CP49" i="46"/>
  <c r="CO49" i="46"/>
  <c r="CN49" i="46"/>
  <c r="CM49" i="46"/>
  <c r="CL49" i="46"/>
  <c r="CK49" i="46"/>
  <c r="CJ49" i="46"/>
  <c r="CI49" i="46"/>
  <c r="CH49" i="46"/>
  <c r="CG49" i="46"/>
  <c r="CF49" i="46"/>
  <c r="CE49" i="46"/>
  <c r="CD49" i="46"/>
  <c r="CC49" i="46"/>
  <c r="CB49" i="46"/>
  <c r="CA49" i="46"/>
  <c r="BZ49" i="46"/>
  <c r="BY49" i="46"/>
  <c r="BX49" i="46"/>
  <c r="BW49" i="46"/>
  <c r="BV49" i="46"/>
  <c r="BU49" i="46"/>
  <c r="BT49" i="46"/>
  <c r="BS49" i="46"/>
  <c r="BR49" i="46"/>
  <c r="BQ49" i="46"/>
  <c r="BP49" i="46"/>
  <c r="BO49" i="46"/>
  <c r="BN49" i="46"/>
  <c r="BK49" i="46"/>
  <c r="DI48" i="46"/>
  <c r="DH48" i="46"/>
  <c r="DG48" i="46"/>
  <c r="DF48" i="46"/>
  <c r="DE48" i="46"/>
  <c r="DD48" i="46"/>
  <c r="CQ48" i="46"/>
  <c r="CP48" i="46"/>
  <c r="CO48" i="46"/>
  <c r="CN48" i="46"/>
  <c r="CM48" i="46"/>
  <c r="CL48" i="46"/>
  <c r="CK48" i="46"/>
  <c r="CJ48" i="46"/>
  <c r="CI48" i="46"/>
  <c r="CH48" i="46"/>
  <c r="CG48" i="46"/>
  <c r="CF48" i="46"/>
  <c r="CE48" i="46"/>
  <c r="CD48" i="46"/>
  <c r="CC48" i="46"/>
  <c r="CB48" i="46"/>
  <c r="CA48" i="46"/>
  <c r="BZ48" i="46"/>
  <c r="BY48" i="46"/>
  <c r="BX48" i="46"/>
  <c r="BW48" i="46"/>
  <c r="BV48" i="46"/>
  <c r="BU48" i="46"/>
  <c r="BT48" i="46"/>
  <c r="BS48" i="46"/>
  <c r="BR48" i="46"/>
  <c r="BQ48" i="46"/>
  <c r="BP48" i="46"/>
  <c r="BO48" i="46"/>
  <c r="BN48" i="46"/>
  <c r="AM48" i="46"/>
  <c r="J48" i="46"/>
  <c r="K48" i="46" s="1"/>
  <c r="DI47" i="46"/>
  <c r="DH47" i="46"/>
  <c r="DG47" i="46"/>
  <c r="DF47" i="46"/>
  <c r="DE47" i="46"/>
  <c r="DD47" i="46"/>
  <c r="DC47" i="46"/>
  <c r="DB47" i="46"/>
  <c r="DA47" i="46"/>
  <c r="CZ47" i="46"/>
  <c r="CY47" i="46"/>
  <c r="CX47" i="46"/>
  <c r="CW47" i="46"/>
  <c r="CV47" i="46"/>
  <c r="CU47" i="46"/>
  <c r="CT47" i="46"/>
  <c r="CS47" i="46"/>
  <c r="CR47" i="46"/>
  <c r="CQ47" i="46"/>
  <c r="CP47" i="46"/>
  <c r="CO47" i="46"/>
  <c r="CN47" i="46"/>
  <c r="CM47" i="46"/>
  <c r="CL47" i="46"/>
  <c r="CK47" i="46"/>
  <c r="CJ47" i="46"/>
  <c r="CI47" i="46"/>
  <c r="CH47" i="46"/>
  <c r="CG47" i="46"/>
  <c r="CF47" i="46"/>
  <c r="CE47" i="46"/>
  <c r="CD47" i="46"/>
  <c r="CC47" i="46"/>
  <c r="CB47" i="46"/>
  <c r="CA47" i="46"/>
  <c r="BZ47" i="46"/>
  <c r="BY47" i="46"/>
  <c r="BX47" i="46"/>
  <c r="BW47" i="46"/>
  <c r="BV47" i="46"/>
  <c r="BU47" i="46"/>
  <c r="BT47" i="46"/>
  <c r="BS47" i="46"/>
  <c r="BR47" i="46"/>
  <c r="BQ47" i="46"/>
  <c r="BP47" i="46"/>
  <c r="BO47" i="46"/>
  <c r="BN47" i="46"/>
  <c r="BK47" i="46"/>
  <c r="J47" i="46"/>
  <c r="M47" i="46" s="1"/>
  <c r="DI46" i="46"/>
  <c r="DH46" i="46"/>
  <c r="DG46" i="46"/>
  <c r="DF46" i="46"/>
  <c r="DE46" i="46"/>
  <c r="DD46" i="46"/>
  <c r="DC46" i="46"/>
  <c r="DB46" i="46"/>
  <c r="DA46" i="46"/>
  <c r="CZ46" i="46"/>
  <c r="CY46" i="46"/>
  <c r="CX46" i="46"/>
  <c r="CW46" i="46"/>
  <c r="CV46" i="46"/>
  <c r="CU46" i="46"/>
  <c r="CT46" i="46"/>
  <c r="CS46" i="46"/>
  <c r="CR46" i="46"/>
  <c r="CQ46" i="46"/>
  <c r="CP46" i="46"/>
  <c r="CO46" i="46"/>
  <c r="CN46" i="46"/>
  <c r="CM46" i="46"/>
  <c r="CL46" i="46"/>
  <c r="CK46" i="46"/>
  <c r="CJ46" i="46"/>
  <c r="CI46" i="46"/>
  <c r="CH46" i="46"/>
  <c r="CG46" i="46"/>
  <c r="CF46" i="46"/>
  <c r="CE46" i="46"/>
  <c r="CD46" i="46"/>
  <c r="CC46" i="46"/>
  <c r="CB46" i="46"/>
  <c r="CA46" i="46"/>
  <c r="BZ46" i="46"/>
  <c r="BY46" i="46"/>
  <c r="BX46" i="46"/>
  <c r="BW46" i="46"/>
  <c r="BV46" i="46"/>
  <c r="BU46" i="46"/>
  <c r="BT46" i="46"/>
  <c r="BS46" i="46"/>
  <c r="BR46" i="46"/>
  <c r="BQ46" i="46"/>
  <c r="BP46" i="46"/>
  <c r="BO46" i="46"/>
  <c r="BN46" i="46"/>
  <c r="BK46" i="46"/>
  <c r="G46" i="46"/>
  <c r="J46" i="46" s="1"/>
  <c r="M46" i="46" s="1"/>
  <c r="DI45" i="46"/>
  <c r="DH45" i="46"/>
  <c r="DG45" i="46"/>
  <c r="DF45" i="46"/>
  <c r="DE45" i="46"/>
  <c r="DD45" i="46"/>
  <c r="DC45" i="46"/>
  <c r="DB45" i="46"/>
  <c r="DA45" i="46"/>
  <c r="CZ45" i="46"/>
  <c r="CY45" i="46"/>
  <c r="CX45" i="46"/>
  <c r="CW45" i="46"/>
  <c r="CV45" i="46"/>
  <c r="CU45" i="46"/>
  <c r="CT45" i="46"/>
  <c r="CS45" i="46"/>
  <c r="CR45" i="46"/>
  <c r="CQ45" i="46"/>
  <c r="CP45" i="46"/>
  <c r="CO45" i="46"/>
  <c r="CN45" i="46"/>
  <c r="CM45" i="46"/>
  <c r="CL45" i="46"/>
  <c r="CK45" i="46"/>
  <c r="CJ45" i="46"/>
  <c r="CI45" i="46"/>
  <c r="CH45" i="46"/>
  <c r="CG45" i="46"/>
  <c r="CF45" i="46"/>
  <c r="CE45" i="46"/>
  <c r="CD45" i="46"/>
  <c r="CC45" i="46"/>
  <c r="CB45" i="46"/>
  <c r="CA45" i="46"/>
  <c r="BZ45" i="46"/>
  <c r="BY45" i="46"/>
  <c r="BX45" i="46"/>
  <c r="BW45" i="46"/>
  <c r="BV45" i="46"/>
  <c r="BU45" i="46"/>
  <c r="BT45" i="46"/>
  <c r="BS45" i="46"/>
  <c r="BR45" i="46"/>
  <c r="BQ45" i="46"/>
  <c r="BP45" i="46"/>
  <c r="BO45" i="46"/>
  <c r="BN45" i="46"/>
  <c r="BK45" i="46"/>
  <c r="Z43" i="46"/>
  <c r="DC43" i="46" s="1"/>
  <c r="Y43" i="46"/>
  <c r="DB43" i="46" s="1"/>
  <c r="X43" i="46"/>
  <c r="DA43" i="46" s="1"/>
  <c r="W43" i="46"/>
  <c r="V43" i="46"/>
  <c r="CM43" i="46" s="1"/>
  <c r="U43" i="46"/>
  <c r="G43" i="46"/>
  <c r="J43" i="46" s="1"/>
  <c r="Z42" i="46"/>
  <c r="CQ42" i="46" s="1"/>
  <c r="Y42" i="46"/>
  <c r="CD42" i="46" s="1"/>
  <c r="X42" i="46"/>
  <c r="W42" i="46"/>
  <c r="V42" i="46"/>
  <c r="U42" i="46"/>
  <c r="CL42" i="46" s="1"/>
  <c r="G42" i="46"/>
  <c r="J42" i="46" s="1"/>
  <c r="Z41" i="46"/>
  <c r="CQ41" i="46" s="1"/>
  <c r="Y41" i="46"/>
  <c r="DB41" i="46" s="1"/>
  <c r="X41" i="46"/>
  <c r="DA41" i="46" s="1"/>
  <c r="W41" i="46"/>
  <c r="CZ41" i="46" s="1"/>
  <c r="V41" i="46"/>
  <c r="U41" i="46"/>
  <c r="CL41" i="46" s="1"/>
  <c r="G41" i="46"/>
  <c r="J41" i="46" s="1"/>
  <c r="Z40" i="46"/>
  <c r="Y40" i="46"/>
  <c r="DH40" i="46" s="1"/>
  <c r="X40" i="46"/>
  <c r="DA40" i="46" s="1"/>
  <c r="W40" i="46"/>
  <c r="CT40" i="46" s="1"/>
  <c r="V40" i="46"/>
  <c r="U40" i="46"/>
  <c r="DD40" i="46" s="1"/>
  <c r="G40" i="46"/>
  <c r="J40" i="46" s="1"/>
  <c r="Z39" i="46"/>
  <c r="DC39" i="46" s="1"/>
  <c r="Y39" i="46"/>
  <c r="DB39" i="46" s="1"/>
  <c r="X39" i="46"/>
  <c r="DA39" i="46" s="1"/>
  <c r="W39" i="46"/>
  <c r="CN39" i="46" s="1"/>
  <c r="V39" i="46"/>
  <c r="BO39" i="46" s="1"/>
  <c r="U39" i="46"/>
  <c r="CX39" i="46" s="1"/>
  <c r="G39" i="46"/>
  <c r="J39" i="46" s="1"/>
  <c r="K39" i="46" s="1"/>
  <c r="Z38" i="46"/>
  <c r="BS38" i="46" s="1"/>
  <c r="Y38" i="46"/>
  <c r="DB38" i="46" s="1"/>
  <c r="X38" i="46"/>
  <c r="DA38" i="46" s="1"/>
  <c r="W38" i="46"/>
  <c r="CZ38" i="46" s="1"/>
  <c r="V38" i="46"/>
  <c r="U38" i="46"/>
  <c r="CX38" i="46" s="1"/>
  <c r="G38" i="46"/>
  <c r="J38" i="46" s="1"/>
  <c r="Z37" i="46"/>
  <c r="DC37" i="46" s="1"/>
  <c r="Y37" i="46"/>
  <c r="CP37" i="46" s="1"/>
  <c r="X37" i="46"/>
  <c r="DA37" i="46" s="1"/>
  <c r="W37" i="46"/>
  <c r="DF37" i="46" s="1"/>
  <c r="V37" i="46"/>
  <c r="U37" i="46"/>
  <c r="CL37" i="46" s="1"/>
  <c r="G37" i="46"/>
  <c r="J37" i="46" s="1"/>
  <c r="Z35" i="46"/>
  <c r="CQ35" i="46" s="1"/>
  <c r="Y35" i="46"/>
  <c r="X35" i="46"/>
  <c r="DA35" i="46" s="1"/>
  <c r="W35" i="46"/>
  <c r="CT35" i="46" s="1"/>
  <c r="V35" i="46"/>
  <c r="U35" i="46"/>
  <c r="G35" i="46"/>
  <c r="J35" i="46" s="1"/>
  <c r="Z34" i="46"/>
  <c r="Y34" i="46"/>
  <c r="CP34" i="46" s="1"/>
  <c r="X34" i="46"/>
  <c r="DA34" i="46" s="1"/>
  <c r="W34" i="46"/>
  <c r="CZ34" i="46" s="1"/>
  <c r="V34" i="46"/>
  <c r="CA34" i="46" s="1"/>
  <c r="U34" i="46"/>
  <c r="CX34" i="46" s="1"/>
  <c r="G34" i="46"/>
  <c r="J34" i="46" s="1"/>
  <c r="Z33" i="46"/>
  <c r="CE33" i="46" s="1"/>
  <c r="Y33" i="46"/>
  <c r="CD33" i="46" s="1"/>
  <c r="X33" i="46"/>
  <c r="DG33" i="46" s="1"/>
  <c r="W33" i="46"/>
  <c r="CT33" i="46" s="1"/>
  <c r="V33" i="46"/>
  <c r="CM33" i="46" s="1"/>
  <c r="U33" i="46"/>
  <c r="BN33" i="46" s="1"/>
  <c r="G33" i="46"/>
  <c r="J33" i="46" s="1"/>
  <c r="Z32" i="46"/>
  <c r="BS32" i="46" s="1"/>
  <c r="Y32" i="46"/>
  <c r="DB32" i="46" s="1"/>
  <c r="X32" i="46"/>
  <c r="DA32" i="46" s="1"/>
  <c r="W32" i="46"/>
  <c r="CZ32" i="46" s="1"/>
  <c r="V32" i="46"/>
  <c r="CY32" i="46" s="1"/>
  <c r="U32" i="46"/>
  <c r="BN32" i="46" s="1"/>
  <c r="G32" i="46"/>
  <c r="J32" i="46" s="1"/>
  <c r="Z31" i="46"/>
  <c r="DC31" i="46" s="1"/>
  <c r="Y31" i="46"/>
  <c r="DH31" i="46" s="1"/>
  <c r="X31" i="46"/>
  <c r="DA31" i="46" s="1"/>
  <c r="W31" i="46"/>
  <c r="V31" i="46"/>
  <c r="BO31" i="46" s="1"/>
  <c r="U31" i="46"/>
  <c r="DD31" i="46" s="1"/>
  <c r="G31" i="46"/>
  <c r="J31" i="46" s="1"/>
  <c r="Z30" i="46"/>
  <c r="Y30" i="46"/>
  <c r="DB30" i="46" s="1"/>
  <c r="X30" i="46"/>
  <c r="DA30" i="46" s="1"/>
  <c r="W30" i="46"/>
  <c r="V30" i="46"/>
  <c r="U30" i="46"/>
  <c r="CX30" i="46" s="1"/>
  <c r="G30" i="46"/>
  <c r="J30" i="46" s="1"/>
  <c r="Z29" i="46"/>
  <c r="DC29" i="46" s="1"/>
  <c r="Y29" i="46"/>
  <c r="DB29" i="46" s="1"/>
  <c r="X29" i="46"/>
  <c r="DA29" i="46" s="1"/>
  <c r="W29" i="46"/>
  <c r="V29" i="46"/>
  <c r="CM29" i="46" s="1"/>
  <c r="U29" i="46"/>
  <c r="CX29" i="46" s="1"/>
  <c r="G29" i="46"/>
  <c r="J29" i="46" s="1"/>
  <c r="Z28" i="46"/>
  <c r="Y28" i="46"/>
  <c r="DB28" i="46" s="1"/>
  <c r="X28" i="46"/>
  <c r="DA28" i="46" s="1"/>
  <c r="W28" i="46"/>
  <c r="CZ28" i="46" s="1"/>
  <c r="V28" i="46"/>
  <c r="U28" i="46"/>
  <c r="CX28" i="46" s="1"/>
  <c r="G28" i="46"/>
  <c r="J28" i="46" s="1"/>
  <c r="Z27" i="46"/>
  <c r="Y27" i="46"/>
  <c r="DB27" i="46" s="1"/>
  <c r="X27" i="46"/>
  <c r="CI27" i="46" s="1"/>
  <c r="W27" i="46"/>
  <c r="DF27" i="46" s="1"/>
  <c r="V27" i="46"/>
  <c r="CM27" i="46" s="1"/>
  <c r="U27" i="46"/>
  <c r="CR27" i="46" s="1"/>
  <c r="G27" i="46"/>
  <c r="J27" i="46" s="1"/>
  <c r="Z25" i="46"/>
  <c r="DC25" i="46" s="1"/>
  <c r="Y25" i="46"/>
  <c r="X25" i="46"/>
  <c r="DA25" i="46" s="1"/>
  <c r="W25" i="46"/>
  <c r="V25" i="46"/>
  <c r="CS25" i="46" s="1"/>
  <c r="U25" i="46"/>
  <c r="BN25" i="46" s="1"/>
  <c r="G25" i="46"/>
  <c r="J25" i="46" s="1"/>
  <c r="K25" i="46" s="1"/>
  <c r="BE25" i="46" s="1"/>
  <c r="Z24" i="46"/>
  <c r="Y24" i="46"/>
  <c r="DH24" i="46" s="1"/>
  <c r="X24" i="46"/>
  <c r="DG24" i="46" s="1"/>
  <c r="W24" i="46"/>
  <c r="BP24" i="46" s="1"/>
  <c r="V24" i="46"/>
  <c r="U24" i="46"/>
  <c r="CR24" i="46" s="1"/>
  <c r="G24" i="46"/>
  <c r="J24" i="46" s="1"/>
  <c r="K24" i="46" s="1"/>
  <c r="Z23" i="46"/>
  <c r="DC23" i="46" s="1"/>
  <c r="Y23" i="46"/>
  <c r="DH23" i="46" s="1"/>
  <c r="X23" i="46"/>
  <c r="DG23" i="46" s="1"/>
  <c r="W23" i="46"/>
  <c r="CZ23" i="46" s="1"/>
  <c r="V23" i="46"/>
  <c r="CY23" i="46" s="1"/>
  <c r="U23" i="46"/>
  <c r="CX23" i="46" s="1"/>
  <c r="G23" i="46"/>
  <c r="J23" i="46" s="1"/>
  <c r="K23" i="46" s="1"/>
  <c r="AM23" i="46" s="1"/>
  <c r="Z22" i="46"/>
  <c r="Y22" i="46"/>
  <c r="CD22" i="46" s="1"/>
  <c r="X22" i="46"/>
  <c r="W22" i="46"/>
  <c r="DF22" i="46" s="1"/>
  <c r="V22" i="46"/>
  <c r="U22" i="46"/>
  <c r="CX22" i="46" s="1"/>
  <c r="G22" i="46"/>
  <c r="J22" i="46" s="1"/>
  <c r="K22" i="46" s="1"/>
  <c r="Z21" i="46"/>
  <c r="CQ21" i="46" s="1"/>
  <c r="Y21" i="46"/>
  <c r="DH21" i="46" s="1"/>
  <c r="X21" i="46"/>
  <c r="DG21" i="46" s="1"/>
  <c r="W21" i="46"/>
  <c r="CZ21" i="46" s="1"/>
  <c r="V21" i="46"/>
  <c r="CY21" i="46" s="1"/>
  <c r="U21" i="46"/>
  <c r="DD21" i="46" s="1"/>
  <c r="G21" i="46"/>
  <c r="J21" i="46" s="1"/>
  <c r="K21" i="46" s="1"/>
  <c r="AJ21" i="46" s="1"/>
  <c r="Z20" i="46"/>
  <c r="DC20" i="46" s="1"/>
  <c r="Y20" i="46"/>
  <c r="DH20" i="46" s="1"/>
  <c r="X20" i="46"/>
  <c r="CU20" i="46" s="1"/>
  <c r="W20" i="46"/>
  <c r="CZ20" i="46" s="1"/>
  <c r="V20" i="46"/>
  <c r="CM20" i="46" s="1"/>
  <c r="U20" i="46"/>
  <c r="DD20" i="46" s="1"/>
  <c r="G20" i="46"/>
  <c r="J20" i="46" s="1"/>
  <c r="K20" i="46" s="1"/>
  <c r="AI20" i="46" s="1"/>
  <c r="Z19" i="46"/>
  <c r="CQ19" i="46" s="1"/>
  <c r="Y19" i="46"/>
  <c r="DH19" i="46" s="1"/>
  <c r="X19" i="46"/>
  <c r="DG19" i="46" s="1"/>
  <c r="W19" i="46"/>
  <c r="CZ19" i="46" s="1"/>
  <c r="V19" i="46"/>
  <c r="CY19" i="46" s="1"/>
  <c r="U19" i="46"/>
  <c r="DD19" i="46" s="1"/>
  <c r="G19" i="46"/>
  <c r="J19" i="46" s="1"/>
  <c r="K19" i="46" s="1"/>
  <c r="AH19" i="46" s="1"/>
  <c r="Z17" i="46"/>
  <c r="DC17" i="46" s="1"/>
  <c r="Y17" i="46"/>
  <c r="X17" i="46"/>
  <c r="CU17" i="46" s="1"/>
  <c r="W17" i="46"/>
  <c r="CZ17" i="46" s="1"/>
  <c r="V17" i="46"/>
  <c r="CM17" i="46" s="1"/>
  <c r="U17" i="46"/>
  <c r="G17" i="46"/>
  <c r="J17" i="46" s="1"/>
  <c r="K17" i="46" s="1"/>
  <c r="BD17" i="46" s="1"/>
  <c r="Z16" i="46"/>
  <c r="DI16" i="46" s="1"/>
  <c r="Y16" i="46"/>
  <c r="DH16" i="46" s="1"/>
  <c r="X16" i="46"/>
  <c r="CU16" i="46" s="1"/>
  <c r="W16" i="46"/>
  <c r="V16" i="46"/>
  <c r="CM16" i="46" s="1"/>
  <c r="U16" i="46"/>
  <c r="DD16" i="46" s="1"/>
  <c r="G16" i="46"/>
  <c r="J16" i="46" s="1"/>
  <c r="K16" i="46" s="1"/>
  <c r="AN16" i="46" s="1"/>
  <c r="Z15" i="46"/>
  <c r="CQ15" i="46" s="1"/>
  <c r="Y15" i="46"/>
  <c r="X15" i="46"/>
  <c r="DG15" i="46" s="1"/>
  <c r="W15" i="46"/>
  <c r="DF15" i="46" s="1"/>
  <c r="V15" i="46"/>
  <c r="CM15" i="46" s="1"/>
  <c r="U15" i="46"/>
  <c r="G15" i="46"/>
  <c r="J15" i="46" s="1"/>
  <c r="Z14" i="46"/>
  <c r="DC14" i="46" s="1"/>
  <c r="Y14" i="46"/>
  <c r="DB14" i="46" s="1"/>
  <c r="X14" i="46"/>
  <c r="DG14" i="46" s="1"/>
  <c r="W14" i="46"/>
  <c r="CT14" i="46" s="1"/>
  <c r="V14" i="46"/>
  <c r="CY14" i="46" s="1"/>
  <c r="U14" i="46"/>
  <c r="BZ14" i="46" s="1"/>
  <c r="G14" i="46"/>
  <c r="J14" i="46" s="1"/>
  <c r="Z13" i="46"/>
  <c r="DI13" i="46" s="1"/>
  <c r="Y13" i="46"/>
  <c r="DH13" i="46" s="1"/>
  <c r="X13" i="46"/>
  <c r="DA13" i="46" s="1"/>
  <c r="W13" i="46"/>
  <c r="CZ13" i="46" s="1"/>
  <c r="V13" i="46"/>
  <c r="DE13" i="46" s="1"/>
  <c r="U13" i="46"/>
  <c r="DD13" i="46" s="1"/>
  <c r="G13" i="46"/>
  <c r="J13" i="46" s="1"/>
  <c r="Z12" i="46"/>
  <c r="DI12" i="46" s="1"/>
  <c r="Y12" i="46"/>
  <c r="DH12" i="46" s="1"/>
  <c r="X12" i="46"/>
  <c r="DA12" i="46" s="1"/>
  <c r="W12" i="46"/>
  <c r="CZ12" i="46" s="1"/>
  <c r="V12" i="46"/>
  <c r="DE12" i="46" s="1"/>
  <c r="U12" i="46"/>
  <c r="DD12" i="46" s="1"/>
  <c r="G12" i="46"/>
  <c r="J12" i="46" s="1"/>
  <c r="Z11" i="46"/>
  <c r="CQ11" i="46" s="1"/>
  <c r="Y11" i="46"/>
  <c r="DH11" i="46" s="1"/>
  <c r="X11" i="46"/>
  <c r="W11" i="46"/>
  <c r="CZ11" i="46" s="1"/>
  <c r="V11" i="46"/>
  <c r="U11" i="46"/>
  <c r="DD11" i="46" s="1"/>
  <c r="G11" i="46"/>
  <c r="J11" i="46" s="1"/>
  <c r="K11" i="46" s="1"/>
  <c r="Z9" i="46"/>
  <c r="DC9" i="46" s="1"/>
  <c r="Y9" i="46"/>
  <c r="X9" i="46"/>
  <c r="W9" i="46"/>
  <c r="CZ9" i="46" s="1"/>
  <c r="V9" i="46"/>
  <c r="U9" i="46"/>
  <c r="G9" i="46"/>
  <c r="J9" i="46" s="1"/>
  <c r="K9" i="46" s="1"/>
  <c r="BD9" i="46" s="1"/>
  <c r="Z8" i="46"/>
  <c r="DI8" i="46" s="1"/>
  <c r="Y8" i="46"/>
  <c r="DH8" i="46" s="1"/>
  <c r="X8" i="46"/>
  <c r="CU8" i="46" s="1"/>
  <c r="W8" i="46"/>
  <c r="V8" i="46"/>
  <c r="CS8" i="46" s="1"/>
  <c r="U8" i="46"/>
  <c r="DD8" i="46" s="1"/>
  <c r="G8" i="46"/>
  <c r="J8" i="46" s="1"/>
  <c r="K8" i="46" s="1"/>
  <c r="AN8" i="46" s="1"/>
  <c r="Z7" i="46"/>
  <c r="CQ7" i="46" s="1"/>
  <c r="Y7" i="46"/>
  <c r="DH7" i="46" s="1"/>
  <c r="X7" i="46"/>
  <c r="DA7" i="46" s="1"/>
  <c r="W7" i="46"/>
  <c r="CZ7" i="46" s="1"/>
  <c r="V7" i="46"/>
  <c r="CY7" i="46" s="1"/>
  <c r="U7" i="46"/>
  <c r="DD7" i="46" s="1"/>
  <c r="G7" i="46"/>
  <c r="J7" i="46" s="1"/>
  <c r="K7" i="46" s="1"/>
  <c r="AM7" i="46" s="1"/>
  <c r="Z6" i="46"/>
  <c r="DI6" i="46" s="1"/>
  <c r="Y6" i="46"/>
  <c r="X6" i="46"/>
  <c r="DA6" i="46" s="1"/>
  <c r="W6" i="46"/>
  <c r="V6" i="46"/>
  <c r="CS6" i="46" s="1"/>
  <c r="U6" i="46"/>
  <c r="G6" i="46"/>
  <c r="J6" i="46" s="1"/>
  <c r="K6" i="46" s="1"/>
  <c r="AL6" i="46" s="1"/>
  <c r="Z5" i="46"/>
  <c r="DI5" i="46" s="1"/>
  <c r="Y5" i="46"/>
  <c r="CP5" i="46" s="1"/>
  <c r="X5" i="46"/>
  <c r="DA5" i="46" s="1"/>
  <c r="W5" i="46"/>
  <c r="CZ5" i="46" s="1"/>
  <c r="V5" i="46"/>
  <c r="DE5" i="46" s="1"/>
  <c r="U5" i="46"/>
  <c r="CX5" i="46" s="1"/>
  <c r="G5" i="46"/>
  <c r="J5" i="46" s="1"/>
  <c r="K5" i="46" s="1"/>
  <c r="Z4" i="46"/>
  <c r="DI4" i="46" s="1"/>
  <c r="Y4" i="46"/>
  <c r="DH4" i="46" s="1"/>
  <c r="X4" i="46"/>
  <c r="DA4" i="46" s="1"/>
  <c r="W4" i="46"/>
  <c r="CZ4" i="46" s="1"/>
  <c r="V4" i="46"/>
  <c r="DE4" i="46" s="1"/>
  <c r="U4" i="46"/>
  <c r="CR4" i="46" s="1"/>
  <c r="G4" i="46"/>
  <c r="J4" i="46" s="1"/>
  <c r="K4" i="46" s="1"/>
  <c r="AI4" i="46" s="1"/>
  <c r="Z3" i="46"/>
  <c r="DI3" i="46" s="1"/>
  <c r="Y3" i="46"/>
  <c r="DB3" i="46" s="1"/>
  <c r="X3" i="46"/>
  <c r="DA3" i="46" s="1"/>
  <c r="W3" i="46"/>
  <c r="CT3" i="46" s="1"/>
  <c r="V3" i="46"/>
  <c r="DE3" i="46" s="1"/>
  <c r="U3" i="46"/>
  <c r="CL3" i="46" s="1"/>
  <c r="G3" i="46"/>
  <c r="BJ16" i="45"/>
  <c r="I16" i="45"/>
  <c r="E28" i="40" s="1"/>
  <c r="DI15" i="45"/>
  <c r="DH15" i="45"/>
  <c r="DG15" i="45"/>
  <c r="DF15" i="45"/>
  <c r="DE15" i="45"/>
  <c r="DD15" i="45"/>
  <c r="DC15" i="45"/>
  <c r="DB15" i="45"/>
  <c r="DA15" i="45"/>
  <c r="CZ15" i="45"/>
  <c r="CY15" i="45"/>
  <c r="CX15" i="45"/>
  <c r="CW15" i="45"/>
  <c r="CV15" i="45"/>
  <c r="CU15" i="45"/>
  <c r="CT15" i="45"/>
  <c r="CS15" i="45"/>
  <c r="CR15" i="45"/>
  <c r="CQ15" i="45"/>
  <c r="CP15" i="45"/>
  <c r="CO15" i="45"/>
  <c r="CN15" i="45"/>
  <c r="CM15" i="45"/>
  <c r="CL15" i="45"/>
  <c r="CK15" i="45"/>
  <c r="CJ15" i="45"/>
  <c r="CI15" i="45"/>
  <c r="CH15" i="45"/>
  <c r="CG15" i="45"/>
  <c r="CF15" i="45"/>
  <c r="CE15" i="45"/>
  <c r="CD15" i="45"/>
  <c r="CC15" i="45"/>
  <c r="CB15" i="45"/>
  <c r="CA15" i="45"/>
  <c r="BZ15" i="45"/>
  <c r="BY15" i="45"/>
  <c r="BX15" i="45"/>
  <c r="BW15" i="45"/>
  <c r="BV15" i="45"/>
  <c r="BU15" i="45"/>
  <c r="BT15" i="45"/>
  <c r="BS15" i="45"/>
  <c r="BR15" i="45"/>
  <c r="BQ15" i="45"/>
  <c r="BP15" i="45"/>
  <c r="BO15" i="45"/>
  <c r="BN15" i="45"/>
  <c r="BK15" i="45"/>
  <c r="DI14" i="45"/>
  <c r="DH14" i="45"/>
  <c r="DG14" i="45"/>
  <c r="DF14" i="45"/>
  <c r="DE14" i="45"/>
  <c r="DD14" i="45"/>
  <c r="DC14" i="45"/>
  <c r="DB14" i="45"/>
  <c r="DA14" i="45"/>
  <c r="CZ14" i="45"/>
  <c r="CY14" i="45"/>
  <c r="CX14" i="45"/>
  <c r="CW14" i="45"/>
  <c r="CV14" i="45"/>
  <c r="CU14" i="45"/>
  <c r="CT14" i="45"/>
  <c r="CS14" i="45"/>
  <c r="CR14" i="45"/>
  <c r="CQ14" i="45"/>
  <c r="CP14" i="45"/>
  <c r="CO14" i="45"/>
  <c r="CN14" i="45"/>
  <c r="CM14" i="45"/>
  <c r="CL14" i="45"/>
  <c r="CK14" i="45"/>
  <c r="CJ14" i="45"/>
  <c r="CI14" i="45"/>
  <c r="CH14" i="45"/>
  <c r="CG14" i="45"/>
  <c r="CF14" i="45"/>
  <c r="CE14" i="45"/>
  <c r="CD14" i="45"/>
  <c r="CC14" i="45"/>
  <c r="CB14" i="45"/>
  <c r="CA14" i="45"/>
  <c r="BZ14" i="45"/>
  <c r="BY14" i="45"/>
  <c r="BX14" i="45"/>
  <c r="BW14" i="45"/>
  <c r="BV14" i="45"/>
  <c r="BU14" i="45"/>
  <c r="BT14" i="45"/>
  <c r="BS14" i="45"/>
  <c r="BR14" i="45"/>
  <c r="BQ14" i="45"/>
  <c r="BP14" i="45"/>
  <c r="BO14" i="45"/>
  <c r="BN14" i="45"/>
  <c r="BK14" i="45"/>
  <c r="Z13" i="45"/>
  <c r="Y13" i="45"/>
  <c r="X13" i="45"/>
  <c r="W13" i="45"/>
  <c r="V13" i="45"/>
  <c r="U13" i="45"/>
  <c r="J13" i="45"/>
  <c r="BB12" i="45"/>
  <c r="AP12" i="45"/>
  <c r="AN12" i="45"/>
  <c r="Z12" i="45"/>
  <c r="Y12" i="45"/>
  <c r="X12" i="45"/>
  <c r="W12" i="45"/>
  <c r="V12" i="45"/>
  <c r="U12" i="45"/>
  <c r="K12" i="45"/>
  <c r="BD12" i="45" s="1"/>
  <c r="J12" i="45"/>
  <c r="BI11" i="45"/>
  <c r="BH11" i="45"/>
  <c r="BG11" i="45"/>
  <c r="BF11" i="45"/>
  <c r="BE11" i="45"/>
  <c r="BD11" i="45"/>
  <c r="BC11" i="45"/>
  <c r="BB11" i="45"/>
  <c r="BA11" i="45"/>
  <c r="AZ11" i="45"/>
  <c r="AY11" i="45"/>
  <c r="AX11" i="45"/>
  <c r="AW11" i="45"/>
  <c r="AV11" i="45"/>
  <c r="AU11" i="45"/>
  <c r="AT11" i="45"/>
  <c r="AS11" i="45"/>
  <c r="AR11" i="45"/>
  <c r="AQ11" i="45"/>
  <c r="AP11" i="45"/>
  <c r="AO11" i="45"/>
  <c r="AN11" i="45"/>
  <c r="AM11" i="45"/>
  <c r="AL11" i="45"/>
  <c r="AK11" i="45"/>
  <c r="AJ11" i="45"/>
  <c r="AI11" i="45"/>
  <c r="AH11" i="45"/>
  <c r="Z11" i="45"/>
  <c r="Y11" i="45"/>
  <c r="X11" i="45"/>
  <c r="W11" i="45"/>
  <c r="V11" i="45"/>
  <c r="U11" i="45"/>
  <c r="DC10" i="45"/>
  <c r="DB10" i="45"/>
  <c r="DA10" i="45"/>
  <c r="CZ10" i="45"/>
  <c r="CY10" i="45"/>
  <c r="CX10" i="45"/>
  <c r="CW10" i="45"/>
  <c r="CV10" i="45"/>
  <c r="CU10" i="45"/>
  <c r="CT10" i="45"/>
  <c r="CS10" i="45"/>
  <c r="CR10" i="45"/>
  <c r="J10" i="45"/>
  <c r="K10" i="45" s="1"/>
  <c r="AK10" i="45" s="1"/>
  <c r="DI9" i="45"/>
  <c r="DH9" i="45"/>
  <c r="DG9" i="45"/>
  <c r="DF9" i="45"/>
  <c r="DE9" i="45"/>
  <c r="DD9" i="45"/>
  <c r="CQ9" i="45"/>
  <c r="CP9" i="45"/>
  <c r="CO9" i="45"/>
  <c r="CN9" i="45"/>
  <c r="CM9" i="45"/>
  <c r="CL9" i="45"/>
  <c r="CK9" i="45"/>
  <c r="CJ9" i="45"/>
  <c r="CI9" i="45"/>
  <c r="CH9" i="45"/>
  <c r="CG9" i="45"/>
  <c r="CF9" i="45"/>
  <c r="CE9" i="45"/>
  <c r="CD9" i="45"/>
  <c r="CC9" i="45"/>
  <c r="CB9" i="45"/>
  <c r="CA9" i="45"/>
  <c r="BZ9" i="45"/>
  <c r="BY9" i="45"/>
  <c r="BX9" i="45"/>
  <c r="BW9" i="45"/>
  <c r="BV9" i="45"/>
  <c r="BU9" i="45"/>
  <c r="BT9" i="45"/>
  <c r="BS9" i="45"/>
  <c r="BR9" i="45"/>
  <c r="BQ9" i="45"/>
  <c r="BP9" i="45"/>
  <c r="BO9" i="45"/>
  <c r="BN9" i="45"/>
  <c r="G9" i="45"/>
  <c r="J9" i="45" s="1"/>
  <c r="K9" i="45" s="1"/>
  <c r="DI8" i="45"/>
  <c r="DH8" i="45"/>
  <c r="DG8" i="45"/>
  <c r="DF8" i="45"/>
  <c r="DE8" i="45"/>
  <c r="DD8" i="45"/>
  <c r="CQ8" i="45"/>
  <c r="CP8" i="45"/>
  <c r="CO8" i="45"/>
  <c r="CN8" i="45"/>
  <c r="CM8" i="45"/>
  <c r="CL8" i="45"/>
  <c r="CK8" i="45"/>
  <c r="CJ8" i="45"/>
  <c r="CI8" i="45"/>
  <c r="CH8" i="45"/>
  <c r="CG8" i="45"/>
  <c r="CF8" i="45"/>
  <c r="CE8" i="45"/>
  <c r="CD8" i="45"/>
  <c r="CC8" i="45"/>
  <c r="CB8" i="45"/>
  <c r="CA8" i="45"/>
  <c r="BZ8" i="45"/>
  <c r="BY8" i="45"/>
  <c r="BX8" i="45"/>
  <c r="BW8" i="45"/>
  <c r="BV8" i="45"/>
  <c r="BU8" i="45"/>
  <c r="BT8" i="45"/>
  <c r="BS8" i="45"/>
  <c r="BR8" i="45"/>
  <c r="BQ8" i="45"/>
  <c r="BP8" i="45"/>
  <c r="BO8" i="45"/>
  <c r="BN8" i="45"/>
  <c r="G8" i="45"/>
  <c r="J8" i="45" s="1"/>
  <c r="Z7" i="45"/>
  <c r="DI7" i="45" s="1"/>
  <c r="Y7" i="45"/>
  <c r="CJ7" i="45" s="1"/>
  <c r="X7" i="45"/>
  <c r="W7" i="45"/>
  <c r="CB7" i="45" s="1"/>
  <c r="V7" i="45"/>
  <c r="DE7" i="45" s="1"/>
  <c r="U7" i="45"/>
  <c r="DD7" i="45" s="1"/>
  <c r="G7" i="45"/>
  <c r="J7" i="45" s="1"/>
  <c r="DI6" i="45"/>
  <c r="DH6" i="45"/>
  <c r="DG6" i="45"/>
  <c r="DF6" i="45"/>
  <c r="DE6" i="45"/>
  <c r="DD6" i="45"/>
  <c r="DC6" i="45"/>
  <c r="DB6" i="45"/>
  <c r="DA6" i="45"/>
  <c r="CZ6" i="45"/>
  <c r="CY6" i="45"/>
  <c r="CX6" i="45"/>
  <c r="CW6" i="45"/>
  <c r="CV6" i="45"/>
  <c r="CU6" i="45"/>
  <c r="CT6" i="45"/>
  <c r="CS6" i="45"/>
  <c r="CR6" i="45"/>
  <c r="CQ6" i="45"/>
  <c r="CP6" i="45"/>
  <c r="CO6" i="45"/>
  <c r="CN6" i="45"/>
  <c r="CM6" i="45"/>
  <c r="CL6" i="45"/>
  <c r="CK6" i="45"/>
  <c r="CJ6" i="45"/>
  <c r="CI6" i="45"/>
  <c r="CH6" i="45"/>
  <c r="CG6" i="45"/>
  <c r="CF6" i="45"/>
  <c r="CE6" i="45"/>
  <c r="CD6" i="45"/>
  <c r="CC6" i="45"/>
  <c r="CB6" i="45"/>
  <c r="CA6" i="45"/>
  <c r="BZ6" i="45"/>
  <c r="BS6" i="45"/>
  <c r="BR6" i="45"/>
  <c r="BQ6" i="45"/>
  <c r="BP6" i="45"/>
  <c r="BO6" i="45"/>
  <c r="BN6" i="45"/>
  <c r="G6" i="45"/>
  <c r="J6" i="45" s="1"/>
  <c r="Z5" i="45"/>
  <c r="Y5" i="45"/>
  <c r="X5" i="45"/>
  <c r="DA5" i="45" s="1"/>
  <c r="W5" i="45"/>
  <c r="CZ5" i="45" s="1"/>
  <c r="V5" i="45"/>
  <c r="U5" i="45"/>
  <c r="G5" i="45"/>
  <c r="Z4" i="45"/>
  <c r="DI4" i="45" s="1"/>
  <c r="Y4" i="45"/>
  <c r="DH4" i="45" s="1"/>
  <c r="X4" i="45"/>
  <c r="DA4" i="45" s="1"/>
  <c r="W4" i="45"/>
  <c r="CZ4" i="45" s="1"/>
  <c r="V4" i="45"/>
  <c r="CS4" i="45" s="1"/>
  <c r="U4" i="45"/>
  <c r="DD4" i="45" s="1"/>
  <c r="K4" i="45"/>
  <c r="AL4" i="45" s="1"/>
  <c r="J4" i="45"/>
  <c r="Z3" i="45"/>
  <c r="CK3" i="45" s="1"/>
  <c r="Y3" i="45"/>
  <c r="DH3" i="45" s="1"/>
  <c r="X3" i="45"/>
  <c r="W3" i="45"/>
  <c r="CZ3" i="45" s="1"/>
  <c r="V3" i="45"/>
  <c r="DE3" i="45" s="1"/>
  <c r="U3" i="45"/>
  <c r="DD3" i="45" s="1"/>
  <c r="J3" i="45"/>
  <c r="K3" i="45" s="1"/>
  <c r="Z2" i="45"/>
  <c r="DC2" i="45" s="1"/>
  <c r="Y2" i="45"/>
  <c r="DB2" i="45" s="1"/>
  <c r="X2" i="45"/>
  <c r="DG2" i="45" s="1"/>
  <c r="W2" i="45"/>
  <c r="CT2" i="45" s="1"/>
  <c r="V2" i="45"/>
  <c r="CY2" i="45" s="1"/>
  <c r="U2" i="45"/>
  <c r="CL2" i="45" s="1"/>
  <c r="J2" i="45"/>
  <c r="K2" i="45" s="1"/>
  <c r="BB8" i="44"/>
  <c r="W25" i="40" s="1"/>
  <c r="AY6" i="44"/>
  <c r="AU6" i="44"/>
  <c r="BJ4" i="44"/>
  <c r="BJ6" i="44" s="1"/>
  <c r="BJ8" i="44" s="1"/>
  <c r="AF25" i="40" s="1"/>
  <c r="AC25" i="40" s="1"/>
  <c r="BI4" i="44"/>
  <c r="AB23" i="40" s="1"/>
  <c r="BH4" i="44"/>
  <c r="BG4" i="44"/>
  <c r="BF4" i="44"/>
  <c r="BF6" i="44" s="1"/>
  <c r="BF8" i="44" s="1"/>
  <c r="Z25" i="40" s="1"/>
  <c r="BE4" i="44"/>
  <c r="Y23" i="40" s="1"/>
  <c r="BD4" i="44"/>
  <c r="X23" i="40" s="1"/>
  <c r="BC4" i="44"/>
  <c r="BC6" i="44" s="1"/>
  <c r="BB4" i="44"/>
  <c r="BB6" i="44" s="1"/>
  <c r="BA4" i="44"/>
  <c r="V23" i="40" s="1"/>
  <c r="AZ4" i="44"/>
  <c r="AY4" i="44"/>
  <c r="AX4" i="44"/>
  <c r="AX6" i="44" s="1"/>
  <c r="AX8" i="44" s="1"/>
  <c r="T25" i="40" s="1"/>
  <c r="AW4" i="44"/>
  <c r="AV4" i="44"/>
  <c r="AU4" i="44"/>
  <c r="AT4" i="44"/>
  <c r="AT6" i="44" s="1"/>
  <c r="AT8" i="44" s="1"/>
  <c r="R25" i="40" s="1"/>
  <c r="AS4" i="44"/>
  <c r="AR4" i="44"/>
  <c r="AQ4" i="44"/>
  <c r="AP4" i="44"/>
  <c r="AP6" i="44" s="1"/>
  <c r="AP8" i="44" s="1"/>
  <c r="P25" i="40" s="1"/>
  <c r="K4" i="44"/>
  <c r="I4" i="44"/>
  <c r="E23" i="40" s="1"/>
  <c r="G4" i="44"/>
  <c r="D23" i="40" s="1"/>
  <c r="AH3" i="44"/>
  <c r="BQ3" i="44" s="1"/>
  <c r="K3" i="44"/>
  <c r="AO3" i="44" s="1"/>
  <c r="DI3" i="44" s="1"/>
  <c r="J3" i="44"/>
  <c r="AK2" i="44"/>
  <c r="CI2" i="44" s="1"/>
  <c r="M2" i="44"/>
  <c r="K2" i="44"/>
  <c r="AN2" i="44" s="1"/>
  <c r="J2" i="44"/>
  <c r="BJ9" i="43"/>
  <c r="AF18" i="40" s="1"/>
  <c r="I9" i="43"/>
  <c r="E18" i="40" s="1"/>
  <c r="E19" i="40" s="1"/>
  <c r="BK8" i="43"/>
  <c r="Z8" i="43"/>
  <c r="DC8" i="43" s="1"/>
  <c r="Y8" i="43"/>
  <c r="X8" i="43"/>
  <c r="DA8" i="43" s="1"/>
  <c r="W8" i="43"/>
  <c r="DF8" i="43" s="1"/>
  <c r="V8" i="43"/>
  <c r="CM8" i="43" s="1"/>
  <c r="U8" i="43"/>
  <c r="G8" i="43"/>
  <c r="J8" i="43" s="1"/>
  <c r="M8" i="43" s="1"/>
  <c r="BK7" i="43"/>
  <c r="Z7" i="43"/>
  <c r="CE7" i="43" s="1"/>
  <c r="Y7" i="43"/>
  <c r="BR7" i="43" s="1"/>
  <c r="X7" i="43"/>
  <c r="CC7" i="43" s="1"/>
  <c r="W7" i="43"/>
  <c r="BV7" i="43" s="1"/>
  <c r="V7" i="43"/>
  <c r="CA7" i="43" s="1"/>
  <c r="U7" i="43"/>
  <c r="BN7" i="43" s="1"/>
  <c r="G7" i="43"/>
  <c r="J7" i="43" s="1"/>
  <c r="M7" i="43" s="1"/>
  <c r="BK6" i="43"/>
  <c r="Z6" i="43"/>
  <c r="Y6" i="43"/>
  <c r="DH6" i="43" s="1"/>
  <c r="X6" i="43"/>
  <c r="DA6" i="43" s="1"/>
  <c r="W6" i="43"/>
  <c r="DF6" i="43" s="1"/>
  <c r="V6" i="43"/>
  <c r="CA6" i="43" s="1"/>
  <c r="U6" i="43"/>
  <c r="CF6" i="43" s="1"/>
  <c r="G6" i="43"/>
  <c r="J6" i="43" s="1"/>
  <c r="M6" i="43" s="1"/>
  <c r="DI5" i="43"/>
  <c r="DH5" i="43"/>
  <c r="DG5" i="43"/>
  <c r="DF5" i="43"/>
  <c r="DE5" i="43"/>
  <c r="DD5" i="43"/>
  <c r="DC5" i="43"/>
  <c r="DB5" i="43"/>
  <c r="DA5" i="43"/>
  <c r="CZ5" i="43"/>
  <c r="CY5" i="43"/>
  <c r="CX5" i="43"/>
  <c r="CW5" i="43"/>
  <c r="CV5" i="43"/>
  <c r="CU5" i="43"/>
  <c r="CT5" i="43"/>
  <c r="CS5" i="43"/>
  <c r="CR5" i="43"/>
  <c r="CQ5" i="43"/>
  <c r="CP5" i="43"/>
  <c r="CO5" i="43"/>
  <c r="CN5" i="43"/>
  <c r="CM5" i="43"/>
  <c r="CL5" i="43"/>
  <c r="CK5" i="43"/>
  <c r="CJ5" i="43"/>
  <c r="CI5" i="43"/>
  <c r="CH5" i="43"/>
  <c r="CG5" i="43"/>
  <c r="CF5" i="43"/>
  <c r="CE5" i="43"/>
  <c r="CD5" i="43"/>
  <c r="CC5" i="43"/>
  <c r="CB5" i="43"/>
  <c r="CA5" i="43"/>
  <c r="BZ5" i="43"/>
  <c r="BY5" i="43"/>
  <c r="BX5" i="43"/>
  <c r="BW5" i="43"/>
  <c r="BV5" i="43"/>
  <c r="BU5" i="43"/>
  <c r="BT5" i="43"/>
  <c r="BS5" i="43"/>
  <c r="BR5" i="43"/>
  <c r="BQ5" i="43"/>
  <c r="BP5" i="43"/>
  <c r="BO5" i="43"/>
  <c r="BN5" i="43"/>
  <c r="BK5" i="43"/>
  <c r="Z4" i="43"/>
  <c r="Y4" i="43"/>
  <c r="X4" i="43"/>
  <c r="W4" i="43"/>
  <c r="V4" i="43"/>
  <c r="U4" i="43"/>
  <c r="G4" i="43"/>
  <c r="DI3" i="43"/>
  <c r="DH3" i="43"/>
  <c r="DG3" i="43"/>
  <c r="DF3" i="43"/>
  <c r="DE3" i="43"/>
  <c r="DD3" i="43"/>
  <c r="DC3" i="43"/>
  <c r="DB3" i="43"/>
  <c r="DA3" i="43"/>
  <c r="CZ3" i="43"/>
  <c r="CY3" i="43"/>
  <c r="CX3" i="43"/>
  <c r="CW3" i="43"/>
  <c r="CV3" i="43"/>
  <c r="CU3" i="43"/>
  <c r="CT3" i="43"/>
  <c r="CS3" i="43"/>
  <c r="CR3" i="43"/>
  <c r="CQ3" i="43"/>
  <c r="CP3" i="43"/>
  <c r="CO3" i="43"/>
  <c r="CN3" i="43"/>
  <c r="CM3" i="43"/>
  <c r="CL3" i="43"/>
  <c r="CK3" i="43"/>
  <c r="CJ3" i="43"/>
  <c r="CI3" i="43"/>
  <c r="CH3" i="43"/>
  <c r="CG3" i="43"/>
  <c r="CF3" i="43"/>
  <c r="CE3" i="43"/>
  <c r="CD3" i="43"/>
  <c r="CC3" i="43"/>
  <c r="CB3" i="43"/>
  <c r="CA3" i="43"/>
  <c r="BZ3" i="43"/>
  <c r="BY3" i="43"/>
  <c r="BX3" i="43"/>
  <c r="BW3" i="43"/>
  <c r="BV3" i="43"/>
  <c r="BU3" i="43"/>
  <c r="BT3" i="43"/>
  <c r="BS3" i="43"/>
  <c r="BR3" i="43"/>
  <c r="BQ3" i="43"/>
  <c r="BP3" i="43"/>
  <c r="BO3" i="43"/>
  <c r="BN3" i="43"/>
  <c r="BK3" i="43"/>
  <c r="DI2" i="43"/>
  <c r="DH2" i="43"/>
  <c r="DG2" i="43"/>
  <c r="DF2" i="43"/>
  <c r="DE2" i="43"/>
  <c r="DD2" i="43"/>
  <c r="DC2" i="43"/>
  <c r="DB2" i="43"/>
  <c r="DA2" i="43"/>
  <c r="CZ2" i="43"/>
  <c r="CY2" i="43"/>
  <c r="CX2" i="43"/>
  <c r="CW2" i="43"/>
  <c r="CV2" i="43"/>
  <c r="CU2" i="43"/>
  <c r="CT2" i="43"/>
  <c r="CS2" i="43"/>
  <c r="CR2" i="43"/>
  <c r="CQ2" i="43"/>
  <c r="CP2" i="43"/>
  <c r="CO2" i="43"/>
  <c r="CN2" i="43"/>
  <c r="CM2" i="43"/>
  <c r="CL2" i="43"/>
  <c r="CK2" i="43"/>
  <c r="CJ2" i="43"/>
  <c r="CI2" i="43"/>
  <c r="CH2" i="43"/>
  <c r="CG2" i="43"/>
  <c r="CF2" i="43"/>
  <c r="CE2" i="43"/>
  <c r="CD2" i="43"/>
  <c r="CC2" i="43"/>
  <c r="CB2" i="43"/>
  <c r="CA2" i="43"/>
  <c r="BZ2" i="43"/>
  <c r="BY2" i="43"/>
  <c r="BX2" i="43"/>
  <c r="BW2" i="43"/>
  <c r="BV2" i="43"/>
  <c r="BU2" i="43"/>
  <c r="BT2" i="43"/>
  <c r="BS2" i="43"/>
  <c r="BR2" i="43"/>
  <c r="BQ2" i="43"/>
  <c r="BP2" i="43"/>
  <c r="BO2" i="43"/>
  <c r="BN2" i="43"/>
  <c r="BK2" i="43"/>
  <c r="J2" i="43"/>
  <c r="BJ36" i="42"/>
  <c r="BI36" i="42"/>
  <c r="BG36" i="42"/>
  <c r="BD36" i="42"/>
  <c r="BA36" i="42"/>
  <c r="AX36" i="42"/>
  <c r="AR36" i="42"/>
  <c r="AQ36" i="42"/>
  <c r="AP36" i="42"/>
  <c r="BJ34" i="42"/>
  <c r="DI33" i="42"/>
  <c r="DH33" i="42"/>
  <c r="DG33" i="42"/>
  <c r="DF33" i="42"/>
  <c r="DE33" i="42"/>
  <c r="DD33" i="42"/>
  <c r="DC33" i="42"/>
  <c r="DB33" i="42"/>
  <c r="DA33" i="42"/>
  <c r="CZ33" i="42"/>
  <c r="CY33" i="42"/>
  <c r="CX33" i="42"/>
  <c r="CW33" i="42"/>
  <c r="CV33" i="42"/>
  <c r="CU33" i="42"/>
  <c r="CT33" i="42"/>
  <c r="CS33" i="42"/>
  <c r="CR33" i="42"/>
  <c r="CQ33" i="42"/>
  <c r="CP33" i="42"/>
  <c r="CO33" i="42"/>
  <c r="CN33" i="42"/>
  <c r="CM33" i="42"/>
  <c r="CL33" i="42"/>
  <c r="CK33" i="42"/>
  <c r="CJ33" i="42"/>
  <c r="CI33" i="42"/>
  <c r="CH33" i="42"/>
  <c r="CG33" i="42"/>
  <c r="CF33" i="42"/>
  <c r="CE33" i="42"/>
  <c r="CD33" i="42"/>
  <c r="CC33" i="42"/>
  <c r="CB33" i="42"/>
  <c r="CA33" i="42"/>
  <c r="BZ33" i="42"/>
  <c r="BY33" i="42"/>
  <c r="BX33" i="42"/>
  <c r="BW33" i="42"/>
  <c r="BV33" i="42"/>
  <c r="BU33" i="42"/>
  <c r="BT33" i="42"/>
  <c r="BS33" i="42"/>
  <c r="BR33" i="42"/>
  <c r="BQ33" i="42"/>
  <c r="BP33" i="42"/>
  <c r="BO33" i="42"/>
  <c r="BN33" i="42"/>
  <c r="BK33" i="42"/>
  <c r="J33" i="42"/>
  <c r="I33" i="42"/>
  <c r="DI32" i="42"/>
  <c r="DH32" i="42"/>
  <c r="DG32" i="42"/>
  <c r="DF32" i="42"/>
  <c r="DE32" i="42"/>
  <c r="DD32" i="42"/>
  <c r="DC32" i="42"/>
  <c r="DB32" i="42"/>
  <c r="DA32" i="42"/>
  <c r="CZ32" i="42"/>
  <c r="CY32" i="42"/>
  <c r="CX32" i="42"/>
  <c r="CW32" i="42"/>
  <c r="CV32" i="42"/>
  <c r="CU32" i="42"/>
  <c r="CT32" i="42"/>
  <c r="CS32" i="42"/>
  <c r="CR32" i="42"/>
  <c r="CQ32" i="42"/>
  <c r="CP32" i="42"/>
  <c r="CO32" i="42"/>
  <c r="CN32" i="42"/>
  <c r="CM32" i="42"/>
  <c r="CL32" i="42"/>
  <c r="CK32" i="42"/>
  <c r="CJ32" i="42"/>
  <c r="CI32" i="42"/>
  <c r="CH32" i="42"/>
  <c r="CG32" i="42"/>
  <c r="CF32" i="42"/>
  <c r="CE32" i="42"/>
  <c r="CD32" i="42"/>
  <c r="CC32" i="42"/>
  <c r="CB32" i="42"/>
  <c r="CA32" i="42"/>
  <c r="BZ32" i="42"/>
  <c r="BY32" i="42"/>
  <c r="BX32" i="42"/>
  <c r="BW32" i="42"/>
  <c r="BV32" i="42"/>
  <c r="BU32" i="42"/>
  <c r="BT32" i="42"/>
  <c r="BS32" i="42"/>
  <c r="BR32" i="42"/>
  <c r="BQ32" i="42"/>
  <c r="BP32" i="42"/>
  <c r="BO32" i="42"/>
  <c r="BN32" i="42"/>
  <c r="BK32" i="42"/>
  <c r="I32" i="42"/>
  <c r="BI31" i="42"/>
  <c r="BI34" i="42" s="1"/>
  <c r="AW31" i="42"/>
  <c r="AM31" i="42"/>
  <c r="Z31" i="42"/>
  <c r="Y31" i="42"/>
  <c r="X31" i="42"/>
  <c r="W31" i="42"/>
  <c r="V31" i="42"/>
  <c r="U31" i="42"/>
  <c r="M31" i="42"/>
  <c r="J31" i="42"/>
  <c r="K31" i="42" s="1"/>
  <c r="BE31" i="42" s="1"/>
  <c r="DI29" i="42"/>
  <c r="DH29" i="42"/>
  <c r="DG29" i="42"/>
  <c r="DF29" i="42"/>
  <c r="DE29" i="42"/>
  <c r="DD29" i="42"/>
  <c r="CQ29" i="42"/>
  <c r="CP29" i="42"/>
  <c r="CO29" i="42"/>
  <c r="CN29" i="42"/>
  <c r="CM29" i="42"/>
  <c r="CL29" i="42"/>
  <c r="CK29" i="42"/>
  <c r="CJ29" i="42"/>
  <c r="CI29" i="42"/>
  <c r="CH29" i="42"/>
  <c r="CG29" i="42"/>
  <c r="CF29" i="42"/>
  <c r="CE29" i="42"/>
  <c r="CD29" i="42"/>
  <c r="CC29" i="42"/>
  <c r="CB29" i="42"/>
  <c r="CA29" i="42"/>
  <c r="BZ29" i="42"/>
  <c r="BY29" i="42"/>
  <c r="BX29" i="42"/>
  <c r="BW29" i="42"/>
  <c r="BV29" i="42"/>
  <c r="BU29" i="42"/>
  <c r="BT29" i="42"/>
  <c r="BS29" i="42"/>
  <c r="BR29" i="42"/>
  <c r="BQ29" i="42"/>
  <c r="BP29" i="42"/>
  <c r="BO29" i="42"/>
  <c r="BN29" i="42"/>
  <c r="J29" i="42"/>
  <c r="DI28" i="42"/>
  <c r="DH28" i="42"/>
  <c r="DF28" i="42"/>
  <c r="DE28" i="42"/>
  <c r="DD28" i="42"/>
  <c r="CQ28" i="42"/>
  <c r="CP28" i="42"/>
  <c r="CM28" i="42"/>
  <c r="CL28" i="42"/>
  <c r="CK28" i="42"/>
  <c r="CJ28" i="42"/>
  <c r="CG28" i="42"/>
  <c r="CF28" i="42"/>
  <c r="CE28" i="42"/>
  <c r="CD28" i="42"/>
  <c r="CB28" i="42"/>
  <c r="CA28" i="42"/>
  <c r="BZ28" i="42"/>
  <c r="BY28" i="42"/>
  <c r="BX28" i="42"/>
  <c r="BV28" i="42"/>
  <c r="BU28" i="42"/>
  <c r="BT28" i="42"/>
  <c r="BS28" i="42"/>
  <c r="BR28" i="42"/>
  <c r="BO28" i="42"/>
  <c r="BN28" i="42"/>
  <c r="X28" i="42"/>
  <c r="DG28" i="42" s="1"/>
  <c r="W28" i="42"/>
  <c r="CN28" i="42" s="1"/>
  <c r="J28" i="42"/>
  <c r="DI27" i="42"/>
  <c r="DH27" i="42"/>
  <c r="DG27" i="42"/>
  <c r="DE27" i="42"/>
  <c r="DD27" i="42"/>
  <c r="CQ27" i="42"/>
  <c r="CP27" i="42"/>
  <c r="CO27" i="42"/>
  <c r="CM27" i="42"/>
  <c r="CL27" i="42"/>
  <c r="CK27" i="42"/>
  <c r="CJ27" i="42"/>
  <c r="CI27" i="42"/>
  <c r="CG27" i="42"/>
  <c r="CE27" i="42"/>
  <c r="CD27" i="42"/>
  <c r="CC27" i="42"/>
  <c r="CA27" i="42"/>
  <c r="BY27" i="42"/>
  <c r="BX27" i="42"/>
  <c r="BW27" i="42"/>
  <c r="BU27" i="42"/>
  <c r="BT27" i="42"/>
  <c r="BS27" i="42"/>
  <c r="BR27" i="42"/>
  <c r="BQ27" i="42"/>
  <c r="BO27" i="42"/>
  <c r="BN27" i="42"/>
  <c r="W27" i="42"/>
  <c r="U27" i="42"/>
  <c r="CF27" i="42" s="1"/>
  <c r="G27" i="42"/>
  <c r="J27" i="42" s="1"/>
  <c r="DI26" i="42"/>
  <c r="DH26" i="42"/>
  <c r="DG26" i="42"/>
  <c r="DF26" i="42"/>
  <c r="DE26" i="42"/>
  <c r="DD26" i="42"/>
  <c r="DC26" i="42"/>
  <c r="DB26" i="42"/>
  <c r="DA26" i="42"/>
  <c r="CZ26" i="42"/>
  <c r="CY26" i="42"/>
  <c r="CX26" i="42"/>
  <c r="CW26" i="42"/>
  <c r="CV26" i="42"/>
  <c r="CU26" i="42"/>
  <c r="CT26" i="42"/>
  <c r="CS26" i="42"/>
  <c r="CR26" i="42"/>
  <c r="CQ26" i="42"/>
  <c r="CP26" i="42"/>
  <c r="CO26" i="42"/>
  <c r="CN26" i="42"/>
  <c r="CM26" i="42"/>
  <c r="CL26" i="42"/>
  <c r="CK26" i="42"/>
  <c r="CJ26" i="42"/>
  <c r="CI26" i="42"/>
  <c r="CH26" i="42"/>
  <c r="CG26" i="42"/>
  <c r="CF26" i="42"/>
  <c r="CE26" i="42"/>
  <c r="CD26" i="42"/>
  <c r="CC26" i="42"/>
  <c r="CB26" i="42"/>
  <c r="CA26" i="42"/>
  <c r="BZ26" i="42"/>
  <c r="BY26" i="42"/>
  <c r="BX26" i="42"/>
  <c r="BW26" i="42"/>
  <c r="BV26" i="42"/>
  <c r="BU26" i="42"/>
  <c r="BT26" i="42"/>
  <c r="BS26" i="42"/>
  <c r="BR26" i="42"/>
  <c r="BQ26" i="42"/>
  <c r="BP26" i="42"/>
  <c r="BO26" i="42"/>
  <c r="BN26" i="42"/>
  <c r="K26" i="42"/>
  <c r="BK26" i="42" s="1"/>
  <c r="J26" i="42"/>
  <c r="DI25" i="42"/>
  <c r="DH25" i="42"/>
  <c r="DG25" i="42"/>
  <c r="DF25" i="42"/>
  <c r="DE25" i="42"/>
  <c r="DD25" i="42"/>
  <c r="DC25" i="42"/>
  <c r="DB25" i="42"/>
  <c r="DA25" i="42"/>
  <c r="CZ25" i="42"/>
  <c r="CY25" i="42"/>
  <c r="CX25" i="42"/>
  <c r="CW25" i="42"/>
  <c r="CV25" i="42"/>
  <c r="CU25" i="42"/>
  <c r="CT25" i="42"/>
  <c r="CS25" i="42"/>
  <c r="CR25" i="42"/>
  <c r="CQ25" i="42"/>
  <c r="CP25" i="42"/>
  <c r="CO25" i="42"/>
  <c r="CN25" i="42"/>
  <c r="CM25" i="42"/>
  <c r="CL25" i="42"/>
  <c r="CK25" i="42"/>
  <c r="CJ25" i="42"/>
  <c r="CI25" i="42"/>
  <c r="CH25" i="42"/>
  <c r="CG25" i="42"/>
  <c r="CF25" i="42"/>
  <c r="CE25" i="42"/>
  <c r="CD25" i="42"/>
  <c r="CC25" i="42"/>
  <c r="CB25" i="42"/>
  <c r="CA25" i="42"/>
  <c r="BZ25" i="42"/>
  <c r="BY25" i="42"/>
  <c r="BX25" i="42"/>
  <c r="BW25" i="42"/>
  <c r="BV25" i="42"/>
  <c r="BU25" i="42"/>
  <c r="BT25" i="42"/>
  <c r="BS25" i="42"/>
  <c r="BR25" i="42"/>
  <c r="BQ25" i="42"/>
  <c r="BP25" i="42"/>
  <c r="BO25" i="42"/>
  <c r="BN25" i="42"/>
  <c r="K25" i="42"/>
  <c r="BK25" i="42" s="1"/>
  <c r="J25" i="42"/>
  <c r="M25" i="42" s="1"/>
  <c r="DI23" i="42"/>
  <c r="DH23" i="42"/>
  <c r="DG23" i="42"/>
  <c r="DF23" i="42"/>
  <c r="DE23" i="42"/>
  <c r="DD23" i="42"/>
  <c r="DC23" i="42"/>
  <c r="DB23" i="42"/>
  <c r="DA23" i="42"/>
  <c r="CZ23" i="42"/>
  <c r="CY23" i="42"/>
  <c r="CX23" i="42"/>
  <c r="CW23" i="42"/>
  <c r="CV23" i="42"/>
  <c r="CU23" i="42"/>
  <c r="CT23" i="42"/>
  <c r="CS23" i="42"/>
  <c r="CR23" i="42"/>
  <c r="CQ23" i="42"/>
  <c r="CP23" i="42"/>
  <c r="CO23" i="42"/>
  <c r="CN23" i="42"/>
  <c r="CM23" i="42"/>
  <c r="CL23" i="42"/>
  <c r="CK23" i="42"/>
  <c r="CJ23" i="42"/>
  <c r="CI23" i="42"/>
  <c r="CH23" i="42"/>
  <c r="CG23" i="42"/>
  <c r="CF23" i="42"/>
  <c r="CE23" i="42"/>
  <c r="CD23" i="42"/>
  <c r="CC23" i="42"/>
  <c r="CB23" i="42"/>
  <c r="CA23" i="42"/>
  <c r="BZ23" i="42"/>
  <c r="BY23" i="42"/>
  <c r="BX23" i="42"/>
  <c r="BW23" i="42"/>
  <c r="BV23" i="42"/>
  <c r="BU23" i="42"/>
  <c r="BT23" i="42"/>
  <c r="BS23" i="42"/>
  <c r="BR23" i="42"/>
  <c r="BQ23" i="42"/>
  <c r="BP23" i="42"/>
  <c r="BO23" i="42"/>
  <c r="BN23" i="42"/>
  <c r="K23" i="42"/>
  <c r="BK23" i="42" s="1"/>
  <c r="G23" i="42"/>
  <c r="J23" i="42" s="1"/>
  <c r="DI22" i="42"/>
  <c r="DH22" i="42"/>
  <c r="DG22" i="42"/>
  <c r="DF22" i="42"/>
  <c r="DE22" i="42"/>
  <c r="DD22" i="42"/>
  <c r="CQ22" i="42"/>
  <c r="CP22" i="42"/>
  <c r="CO22" i="42"/>
  <c r="CN22" i="42"/>
  <c r="CM22" i="42"/>
  <c r="CL22" i="42"/>
  <c r="CK22" i="42"/>
  <c r="CJ22" i="42"/>
  <c r="CI22" i="42"/>
  <c r="CH22" i="42"/>
  <c r="CG22" i="42"/>
  <c r="CF22" i="42"/>
  <c r="CE22" i="42"/>
  <c r="CD22" i="42"/>
  <c r="CC22" i="42"/>
  <c r="CB22" i="42"/>
  <c r="CA22" i="42"/>
  <c r="BZ22" i="42"/>
  <c r="BY22" i="42"/>
  <c r="BX22" i="42"/>
  <c r="BW22" i="42"/>
  <c r="BV22" i="42"/>
  <c r="BU22" i="42"/>
  <c r="BT22" i="42"/>
  <c r="BS22" i="42"/>
  <c r="BR22" i="42"/>
  <c r="BQ22" i="42"/>
  <c r="BP22" i="42"/>
  <c r="BO22" i="42"/>
  <c r="BN22" i="42"/>
  <c r="G22" i="42"/>
  <c r="J22" i="42" s="1"/>
  <c r="DG21" i="42"/>
  <c r="DD21" i="42"/>
  <c r="CO21" i="42"/>
  <c r="CL21" i="42"/>
  <c r="CI21" i="42"/>
  <c r="CF21" i="42"/>
  <c r="CC21" i="42"/>
  <c r="BZ21" i="42"/>
  <c r="BW21" i="42"/>
  <c r="BT21" i="42"/>
  <c r="BQ21" i="42"/>
  <c r="BN21" i="42"/>
  <c r="Z21" i="42"/>
  <c r="CQ21" i="42" s="1"/>
  <c r="Y21" i="42"/>
  <c r="DH21" i="42" s="1"/>
  <c r="X21" i="42"/>
  <c r="W21" i="42"/>
  <c r="V21" i="42"/>
  <c r="G21" i="42"/>
  <c r="J21" i="42" s="1"/>
  <c r="DI20" i="42"/>
  <c r="DH20" i="42"/>
  <c r="DG20" i="42"/>
  <c r="DF20" i="42"/>
  <c r="DE20" i="42"/>
  <c r="DD20" i="42"/>
  <c r="DC20" i="42"/>
  <c r="DB20" i="42"/>
  <c r="DA20" i="42"/>
  <c r="CZ20" i="42"/>
  <c r="CY20" i="42"/>
  <c r="CX20" i="42"/>
  <c r="CW20" i="42"/>
  <c r="CV20" i="42"/>
  <c r="CU20" i="42"/>
  <c r="CT20" i="42"/>
  <c r="CS20" i="42"/>
  <c r="CR20" i="42"/>
  <c r="CQ20" i="42"/>
  <c r="CP20" i="42"/>
  <c r="CO20" i="42"/>
  <c r="CN20" i="42"/>
  <c r="CM20" i="42"/>
  <c r="CL20" i="42"/>
  <c r="CK20" i="42"/>
  <c r="CJ20" i="42"/>
  <c r="CI20" i="42"/>
  <c r="CH20" i="42"/>
  <c r="CG20" i="42"/>
  <c r="CF20" i="42"/>
  <c r="CE20" i="42"/>
  <c r="CD20" i="42"/>
  <c r="CC20" i="42"/>
  <c r="CB20" i="42"/>
  <c r="CA20" i="42"/>
  <c r="BZ20" i="42"/>
  <c r="BY20" i="42"/>
  <c r="BX20" i="42"/>
  <c r="BW20" i="42"/>
  <c r="BV20" i="42"/>
  <c r="BU20" i="42"/>
  <c r="BT20" i="42"/>
  <c r="BS20" i="42"/>
  <c r="BR20" i="42"/>
  <c r="BQ20" i="42"/>
  <c r="BP20" i="42"/>
  <c r="BO20" i="42"/>
  <c r="BN20" i="42"/>
  <c r="K20" i="42"/>
  <c r="BK20" i="42" s="1"/>
  <c r="J20" i="42"/>
  <c r="DI19" i="42"/>
  <c r="DH19" i="42"/>
  <c r="DG19" i="42"/>
  <c r="DF19" i="42"/>
  <c r="DE19" i="42"/>
  <c r="DD19" i="42"/>
  <c r="DC19" i="42"/>
  <c r="DB19" i="42"/>
  <c r="DA19" i="42"/>
  <c r="CZ19" i="42"/>
  <c r="CY19" i="42"/>
  <c r="CX19" i="42"/>
  <c r="CW19" i="42"/>
  <c r="CV19" i="42"/>
  <c r="CU19" i="42"/>
  <c r="CT19" i="42"/>
  <c r="CS19" i="42"/>
  <c r="CR19" i="42"/>
  <c r="CQ19" i="42"/>
  <c r="CP19" i="42"/>
  <c r="CO19" i="42"/>
  <c r="CN19" i="42"/>
  <c r="CM19" i="42"/>
  <c r="CL19" i="42"/>
  <c r="CK19" i="42"/>
  <c r="CJ19" i="42"/>
  <c r="CI19" i="42"/>
  <c r="CH19" i="42"/>
  <c r="CG19" i="42"/>
  <c r="CF19" i="42"/>
  <c r="CE19" i="42"/>
  <c r="CD19" i="42"/>
  <c r="CC19" i="42"/>
  <c r="CB19" i="42"/>
  <c r="CA19" i="42"/>
  <c r="BZ19" i="42"/>
  <c r="BY19" i="42"/>
  <c r="BX19" i="42"/>
  <c r="BW19" i="42"/>
  <c r="BV19" i="42"/>
  <c r="BU19" i="42"/>
  <c r="BT19" i="42"/>
  <c r="BS19" i="42"/>
  <c r="BR19" i="42"/>
  <c r="BQ19" i="42"/>
  <c r="BP19" i="42"/>
  <c r="BO19" i="42"/>
  <c r="BN19" i="42"/>
  <c r="K19" i="42"/>
  <c r="BK19" i="42" s="1"/>
  <c r="J19" i="42"/>
  <c r="DI18" i="42"/>
  <c r="DH18" i="42"/>
  <c r="DG18" i="42"/>
  <c r="DF18" i="42"/>
  <c r="DE18" i="42"/>
  <c r="DD18" i="42"/>
  <c r="DC18" i="42"/>
  <c r="DB18" i="42"/>
  <c r="DA18" i="42"/>
  <c r="CZ18" i="42"/>
  <c r="CY18" i="42"/>
  <c r="CX18" i="42"/>
  <c r="CW18" i="42"/>
  <c r="CV18" i="42"/>
  <c r="CU18" i="42"/>
  <c r="CT18" i="42"/>
  <c r="CS18" i="42"/>
  <c r="CR18" i="42"/>
  <c r="CQ18" i="42"/>
  <c r="CP18" i="42"/>
  <c r="CO18" i="42"/>
  <c r="CN18" i="42"/>
  <c r="CM18" i="42"/>
  <c r="CL18" i="42"/>
  <c r="CK18" i="42"/>
  <c r="CJ18" i="42"/>
  <c r="CI18" i="42"/>
  <c r="CH18" i="42"/>
  <c r="CG18" i="42"/>
  <c r="CF18" i="42"/>
  <c r="CE18" i="42"/>
  <c r="CD18" i="42"/>
  <c r="CC18" i="42"/>
  <c r="CB18" i="42"/>
  <c r="CA18" i="42"/>
  <c r="BZ18" i="42"/>
  <c r="BY18" i="42"/>
  <c r="BX18" i="42"/>
  <c r="BW18" i="42"/>
  <c r="BV18" i="42"/>
  <c r="BU18" i="42"/>
  <c r="BT18" i="42"/>
  <c r="BS18" i="42"/>
  <c r="BR18" i="42"/>
  <c r="BQ18" i="42"/>
  <c r="BP18" i="42"/>
  <c r="BO18" i="42"/>
  <c r="BN18" i="42"/>
  <c r="K18" i="42"/>
  <c r="BK18" i="42" s="1"/>
  <c r="J18" i="42"/>
  <c r="DI17" i="42"/>
  <c r="DH17" i="42"/>
  <c r="DG17" i="42"/>
  <c r="DF17" i="42"/>
  <c r="DE17" i="42"/>
  <c r="DD17" i="42"/>
  <c r="DC17" i="42"/>
  <c r="DB17" i="42"/>
  <c r="DA17" i="42"/>
  <c r="CZ17" i="42"/>
  <c r="CY17" i="42"/>
  <c r="CX17" i="42"/>
  <c r="CW17" i="42"/>
  <c r="CV17" i="42"/>
  <c r="CU17" i="42"/>
  <c r="CT17" i="42"/>
  <c r="CS17" i="42"/>
  <c r="CR17" i="42"/>
  <c r="CQ17" i="42"/>
  <c r="CP17" i="42"/>
  <c r="CO17" i="42"/>
  <c r="CN17" i="42"/>
  <c r="CM17" i="42"/>
  <c r="CL17" i="42"/>
  <c r="CK17" i="42"/>
  <c r="CJ17" i="42"/>
  <c r="CI17" i="42"/>
  <c r="CH17" i="42"/>
  <c r="CG17" i="42"/>
  <c r="CF17" i="42"/>
  <c r="CE17" i="42"/>
  <c r="CD17" i="42"/>
  <c r="CC17" i="42"/>
  <c r="CB17" i="42"/>
  <c r="CA17" i="42"/>
  <c r="BZ17" i="42"/>
  <c r="BY17" i="42"/>
  <c r="BX17" i="42"/>
  <c r="BW17" i="42"/>
  <c r="BV17" i="42"/>
  <c r="BU17" i="42"/>
  <c r="BT17" i="42"/>
  <c r="BS17" i="42"/>
  <c r="BR17" i="42"/>
  <c r="BQ17" i="42"/>
  <c r="BP17" i="42"/>
  <c r="BO17" i="42"/>
  <c r="BN17" i="42"/>
  <c r="BK17" i="42"/>
  <c r="DI16" i="42"/>
  <c r="DH16" i="42"/>
  <c r="DG16" i="42"/>
  <c r="DF16" i="42"/>
  <c r="DE16" i="42"/>
  <c r="DD16" i="42"/>
  <c r="DC16" i="42"/>
  <c r="DB16" i="42"/>
  <c r="DA16" i="42"/>
  <c r="CZ16" i="42"/>
  <c r="CY16" i="42"/>
  <c r="CX16" i="42"/>
  <c r="CW16" i="42"/>
  <c r="CV16" i="42"/>
  <c r="CU16" i="42"/>
  <c r="CT16" i="42"/>
  <c r="CS16" i="42"/>
  <c r="CR16" i="42"/>
  <c r="CQ16" i="42"/>
  <c r="CP16" i="42"/>
  <c r="CO16" i="42"/>
  <c r="CN16" i="42"/>
  <c r="CM16" i="42"/>
  <c r="CL16" i="42"/>
  <c r="CK16" i="42"/>
  <c r="CJ16" i="42"/>
  <c r="CI16" i="42"/>
  <c r="CH16" i="42"/>
  <c r="CG16" i="42"/>
  <c r="CF16" i="42"/>
  <c r="CE16" i="42"/>
  <c r="CD16" i="42"/>
  <c r="CC16" i="42"/>
  <c r="CB16" i="42"/>
  <c r="CA16" i="42"/>
  <c r="BZ16" i="42"/>
  <c r="BY16" i="42"/>
  <c r="BX16" i="42"/>
  <c r="BW16" i="42"/>
  <c r="BV16" i="42"/>
  <c r="BU16" i="42"/>
  <c r="BT16" i="42"/>
  <c r="BS16" i="42"/>
  <c r="BR16" i="42"/>
  <c r="BQ16" i="42"/>
  <c r="BP16" i="42"/>
  <c r="BO16" i="42"/>
  <c r="BN16" i="42"/>
  <c r="K16" i="42"/>
  <c r="BK16" i="42" s="1"/>
  <c r="J16" i="42"/>
  <c r="DI14" i="42"/>
  <c r="DH14" i="42"/>
  <c r="DG14" i="42"/>
  <c r="DF14" i="42"/>
  <c r="DE14" i="42"/>
  <c r="DD14" i="42"/>
  <c r="DC14" i="42"/>
  <c r="DB14" i="42"/>
  <c r="DA14" i="42"/>
  <c r="CZ14" i="42"/>
  <c r="CY14" i="42"/>
  <c r="CX14" i="42"/>
  <c r="CW14" i="42"/>
  <c r="CV14" i="42"/>
  <c r="CU14" i="42"/>
  <c r="CT14" i="42"/>
  <c r="CS14" i="42"/>
  <c r="CR14" i="42"/>
  <c r="CQ14" i="42"/>
  <c r="CP14" i="42"/>
  <c r="CO14" i="42"/>
  <c r="CN14" i="42"/>
  <c r="CM14" i="42"/>
  <c r="CL14" i="42"/>
  <c r="CK14" i="42"/>
  <c r="CJ14" i="42"/>
  <c r="CI14" i="42"/>
  <c r="CH14" i="42"/>
  <c r="CG14" i="42"/>
  <c r="CF14" i="42"/>
  <c r="CE14" i="42"/>
  <c r="CD14" i="42"/>
  <c r="CC14" i="42"/>
  <c r="CB14" i="42"/>
  <c r="CA14" i="42"/>
  <c r="BZ14" i="42"/>
  <c r="BY14" i="42"/>
  <c r="BX14" i="42"/>
  <c r="BW14" i="42"/>
  <c r="BV14" i="42"/>
  <c r="BU14" i="42"/>
  <c r="BT14" i="42"/>
  <c r="BS14" i="42"/>
  <c r="BR14" i="42"/>
  <c r="BQ14" i="42"/>
  <c r="BP14" i="42"/>
  <c r="BO14" i="42"/>
  <c r="BN14" i="42"/>
  <c r="G14" i="42"/>
  <c r="J14" i="42" s="1"/>
  <c r="K14" i="42" s="1"/>
  <c r="AT14" i="42" s="1"/>
  <c r="DI13" i="42"/>
  <c r="DH13" i="42"/>
  <c r="DG13" i="42"/>
  <c r="DF13" i="42"/>
  <c r="DE13" i="42"/>
  <c r="DD13" i="42"/>
  <c r="DC13" i="42"/>
  <c r="DB13" i="42"/>
  <c r="DA13" i="42"/>
  <c r="CZ13" i="42"/>
  <c r="CY13" i="42"/>
  <c r="CX13" i="42"/>
  <c r="CW13" i="42"/>
  <c r="CV13" i="42"/>
  <c r="CU13" i="42"/>
  <c r="CT13" i="42"/>
  <c r="CS13" i="42"/>
  <c r="CR13" i="42"/>
  <c r="CQ13" i="42"/>
  <c r="CP13" i="42"/>
  <c r="CO13" i="42"/>
  <c r="CN13" i="42"/>
  <c r="CM13" i="42"/>
  <c r="CL13" i="42"/>
  <c r="CK13" i="42"/>
  <c r="CJ13" i="42"/>
  <c r="CI13" i="42"/>
  <c r="CH13" i="42"/>
  <c r="CG13" i="42"/>
  <c r="CF13" i="42"/>
  <c r="CE13" i="42"/>
  <c r="CD13" i="42"/>
  <c r="CC13" i="42"/>
  <c r="CB13" i="42"/>
  <c r="CA13" i="42"/>
  <c r="BZ13" i="42"/>
  <c r="BY13" i="42"/>
  <c r="BX13" i="42"/>
  <c r="BW13" i="42"/>
  <c r="BV13" i="42"/>
  <c r="BU13" i="42"/>
  <c r="BT13" i="42"/>
  <c r="BS13" i="42"/>
  <c r="BR13" i="42"/>
  <c r="BQ13" i="42"/>
  <c r="BP13" i="42"/>
  <c r="BO13" i="42"/>
  <c r="BN13" i="42"/>
  <c r="BK13" i="42"/>
  <c r="G13" i="42"/>
  <c r="J13" i="42" s="1"/>
  <c r="M13" i="42" s="1"/>
  <c r="DI12" i="42"/>
  <c r="DH12" i="42"/>
  <c r="DG12" i="42"/>
  <c r="DF12" i="42"/>
  <c r="DE12" i="42"/>
  <c r="DD12" i="42"/>
  <c r="DC12" i="42"/>
  <c r="DB12" i="42"/>
  <c r="DA12" i="42"/>
  <c r="CZ12" i="42"/>
  <c r="CY12" i="42"/>
  <c r="CX12" i="42"/>
  <c r="CW12" i="42"/>
  <c r="CV12" i="42"/>
  <c r="CU12" i="42"/>
  <c r="CT12" i="42"/>
  <c r="CS12" i="42"/>
  <c r="CR12" i="42"/>
  <c r="CQ12" i="42"/>
  <c r="CP12" i="42"/>
  <c r="CO12" i="42"/>
  <c r="CN12" i="42"/>
  <c r="CM12" i="42"/>
  <c r="CL12" i="42"/>
  <c r="CK12" i="42"/>
  <c r="CJ12" i="42"/>
  <c r="CI12" i="42"/>
  <c r="CH12" i="42"/>
  <c r="CG12" i="42"/>
  <c r="CF12" i="42"/>
  <c r="CE12" i="42"/>
  <c r="CD12" i="42"/>
  <c r="CC12" i="42"/>
  <c r="CB12" i="42"/>
  <c r="CA12" i="42"/>
  <c r="BZ12" i="42"/>
  <c r="BY12" i="42"/>
  <c r="BX12" i="42"/>
  <c r="BW12" i="42"/>
  <c r="BV12" i="42"/>
  <c r="BU12" i="42"/>
  <c r="BT12" i="42"/>
  <c r="BS12" i="42"/>
  <c r="BR12" i="42"/>
  <c r="BQ12" i="42"/>
  <c r="BP12" i="42"/>
  <c r="BO12" i="42"/>
  <c r="BN12" i="42"/>
  <c r="K12" i="42"/>
  <c r="AW12" i="42" s="1"/>
  <c r="G12" i="42"/>
  <c r="J12" i="42" s="1"/>
  <c r="DI11" i="42"/>
  <c r="DH11" i="42"/>
  <c r="DG11" i="42"/>
  <c r="DF11" i="42"/>
  <c r="DE11" i="42"/>
  <c r="DD11" i="42"/>
  <c r="DC11" i="42"/>
  <c r="DB11" i="42"/>
  <c r="DA11" i="42"/>
  <c r="CZ11" i="42"/>
  <c r="CY11" i="42"/>
  <c r="CX11" i="42"/>
  <c r="CW11" i="42"/>
  <c r="CV11" i="42"/>
  <c r="CU11" i="42"/>
  <c r="CT11" i="42"/>
  <c r="CS11" i="42"/>
  <c r="CR11" i="42"/>
  <c r="CQ11" i="42"/>
  <c r="CP11" i="42"/>
  <c r="CO11" i="42"/>
  <c r="CN11" i="42"/>
  <c r="CM11" i="42"/>
  <c r="CL11" i="42"/>
  <c r="CK11" i="42"/>
  <c r="CJ11" i="42"/>
  <c r="CI11" i="42"/>
  <c r="CH11" i="42"/>
  <c r="CG11" i="42"/>
  <c r="CF11" i="42"/>
  <c r="CE11" i="42"/>
  <c r="CD11" i="42"/>
  <c r="CC11" i="42"/>
  <c r="CB11" i="42"/>
  <c r="CA11" i="42"/>
  <c r="BZ11" i="42"/>
  <c r="BY11" i="42"/>
  <c r="BX11" i="42"/>
  <c r="BW11" i="42"/>
  <c r="BV11" i="42"/>
  <c r="BU11" i="42"/>
  <c r="BT11" i="42"/>
  <c r="BS11" i="42"/>
  <c r="BR11" i="42"/>
  <c r="BQ11" i="42"/>
  <c r="BP11" i="42"/>
  <c r="BO11" i="42"/>
  <c r="BN11" i="42"/>
  <c r="K11" i="42"/>
  <c r="BB11" i="42" s="1"/>
  <c r="G11" i="42"/>
  <c r="J11" i="42" s="1"/>
  <c r="DI10" i="42"/>
  <c r="DH10" i="42"/>
  <c r="DG10" i="42"/>
  <c r="DF10" i="42"/>
  <c r="DE10" i="42"/>
  <c r="DD10" i="42"/>
  <c r="DC10" i="42"/>
  <c r="DB10" i="42"/>
  <c r="DA10" i="42"/>
  <c r="CZ10" i="42"/>
  <c r="CY10" i="42"/>
  <c r="CX10" i="42"/>
  <c r="CW10" i="42"/>
  <c r="CV10" i="42"/>
  <c r="CU10" i="42"/>
  <c r="CT10" i="42"/>
  <c r="CS10" i="42"/>
  <c r="CR10" i="42"/>
  <c r="CQ10" i="42"/>
  <c r="CP10" i="42"/>
  <c r="CO10" i="42"/>
  <c r="CN10" i="42"/>
  <c r="CM10" i="42"/>
  <c r="CL10" i="42"/>
  <c r="CK10" i="42"/>
  <c r="CJ10" i="42"/>
  <c r="CI10" i="42"/>
  <c r="CH10" i="42"/>
  <c r="CG10" i="42"/>
  <c r="CF10" i="42"/>
  <c r="CE10" i="42"/>
  <c r="CD10" i="42"/>
  <c r="CC10" i="42"/>
  <c r="CB10" i="42"/>
  <c r="CA10" i="42"/>
  <c r="BZ10" i="42"/>
  <c r="BY10" i="42"/>
  <c r="BX10" i="42"/>
  <c r="BW10" i="42"/>
  <c r="BV10" i="42"/>
  <c r="BU10" i="42"/>
  <c r="BT10" i="42"/>
  <c r="BS10" i="42"/>
  <c r="BR10" i="42"/>
  <c r="BQ10" i="42"/>
  <c r="BP10" i="42"/>
  <c r="BO10" i="42"/>
  <c r="BN10" i="42"/>
  <c r="K10" i="42"/>
  <c r="BH10" i="42" s="1"/>
  <c r="G10" i="42"/>
  <c r="J10" i="42" s="1"/>
  <c r="DC9" i="42"/>
  <c r="DB9" i="42"/>
  <c r="DA9" i="42"/>
  <c r="CZ9" i="42"/>
  <c r="CY9" i="42"/>
  <c r="CX9" i="42"/>
  <c r="CW9" i="42"/>
  <c r="CV9" i="42"/>
  <c r="CU9" i="42"/>
  <c r="CT9" i="42"/>
  <c r="CS9" i="42"/>
  <c r="CR9" i="42"/>
  <c r="CQ9" i="42"/>
  <c r="CP9" i="42"/>
  <c r="CO9" i="42"/>
  <c r="CN9" i="42"/>
  <c r="CM9" i="42"/>
  <c r="CL9" i="42"/>
  <c r="CK9" i="42"/>
  <c r="CJ9" i="42"/>
  <c r="CI9" i="42"/>
  <c r="CH9" i="42"/>
  <c r="CG9" i="42"/>
  <c r="CF9" i="42"/>
  <c r="CE9" i="42"/>
  <c r="CD9" i="42"/>
  <c r="CC9" i="42"/>
  <c r="CB9" i="42"/>
  <c r="CA9" i="42"/>
  <c r="BZ9" i="42"/>
  <c r="BY9" i="42"/>
  <c r="BX9" i="42"/>
  <c r="BW9" i="42"/>
  <c r="BV9" i="42"/>
  <c r="BU9" i="42"/>
  <c r="BT9" i="42"/>
  <c r="BS9" i="42"/>
  <c r="BR9" i="42"/>
  <c r="BQ9" i="42"/>
  <c r="BP9" i="42"/>
  <c r="BO9" i="42"/>
  <c r="BN9" i="42"/>
  <c r="G9" i="42"/>
  <c r="J9" i="42" s="1"/>
  <c r="DI8" i="42"/>
  <c r="DH8" i="42"/>
  <c r="DG8" i="42"/>
  <c r="DF8" i="42"/>
  <c r="DE8" i="42"/>
  <c r="DD8" i="42"/>
  <c r="DC8" i="42"/>
  <c r="DB8" i="42"/>
  <c r="DA8" i="42"/>
  <c r="CZ8" i="42"/>
  <c r="CY8" i="42"/>
  <c r="CX8" i="42"/>
  <c r="CW8" i="42"/>
  <c r="CV8" i="42"/>
  <c r="CU8" i="42"/>
  <c r="CT8" i="42"/>
  <c r="CS8" i="42"/>
  <c r="CR8" i="42"/>
  <c r="CQ8" i="42"/>
  <c r="CP8" i="42"/>
  <c r="CO8" i="42"/>
  <c r="CN8" i="42"/>
  <c r="CM8" i="42"/>
  <c r="CL8" i="42"/>
  <c r="CK8" i="42"/>
  <c r="CJ8" i="42"/>
  <c r="CI8" i="42"/>
  <c r="CH8" i="42"/>
  <c r="CG8" i="42"/>
  <c r="CF8" i="42"/>
  <c r="CE8" i="42"/>
  <c r="CD8" i="42"/>
  <c r="CC8" i="42"/>
  <c r="CB8" i="42"/>
  <c r="CA8" i="42"/>
  <c r="BZ8" i="42"/>
  <c r="BS8" i="42"/>
  <c r="BR8" i="42"/>
  <c r="BQ8" i="42"/>
  <c r="BP8" i="42"/>
  <c r="BO8" i="42"/>
  <c r="BN8" i="42"/>
  <c r="G8" i="42"/>
  <c r="J8" i="42" s="1"/>
  <c r="K8" i="42" s="1"/>
  <c r="BC8" i="42" s="1"/>
  <c r="Z7" i="42"/>
  <c r="DI7" i="42" s="1"/>
  <c r="Y7" i="42"/>
  <c r="CP7" i="42" s="1"/>
  <c r="X7" i="42"/>
  <c r="CU7" i="42" s="1"/>
  <c r="W7" i="42"/>
  <c r="CN7" i="42" s="1"/>
  <c r="V7" i="42"/>
  <c r="DE7" i="42" s="1"/>
  <c r="U7" i="42"/>
  <c r="BZ7" i="42" s="1"/>
  <c r="G7" i="42"/>
  <c r="J7" i="42" s="1"/>
  <c r="K7" i="42" s="1"/>
  <c r="AN7" i="42" s="1"/>
  <c r="Z6" i="42"/>
  <c r="CE6" i="42" s="1"/>
  <c r="Y6" i="42"/>
  <c r="CP6" i="42" s="1"/>
  <c r="X6" i="42"/>
  <c r="DA6" i="42" s="1"/>
  <c r="W6" i="42"/>
  <c r="CH6" i="42" s="1"/>
  <c r="V6" i="42"/>
  <c r="BO6" i="42" s="1"/>
  <c r="U6" i="42"/>
  <c r="CX6" i="42" s="1"/>
  <c r="G6" i="42"/>
  <c r="J6" i="42" s="1"/>
  <c r="K6" i="42" s="1"/>
  <c r="Z5" i="42"/>
  <c r="CE5" i="42" s="1"/>
  <c r="Y5" i="42"/>
  <c r="DH5" i="42" s="1"/>
  <c r="X5" i="42"/>
  <c r="DG5" i="42" s="1"/>
  <c r="W5" i="42"/>
  <c r="CZ5" i="42" s="1"/>
  <c r="V5" i="42"/>
  <c r="CY5" i="42" s="1"/>
  <c r="U5" i="42"/>
  <c r="DD5" i="42" s="1"/>
  <c r="G5" i="42"/>
  <c r="J5" i="42" s="1"/>
  <c r="Z4" i="42"/>
  <c r="DI4" i="42" s="1"/>
  <c r="Y4" i="42"/>
  <c r="DB4" i="42" s="1"/>
  <c r="X4" i="42"/>
  <c r="DA4" i="42" s="1"/>
  <c r="W4" i="42"/>
  <c r="DF4" i="42" s="1"/>
  <c r="V4" i="42"/>
  <c r="DE4" i="42" s="1"/>
  <c r="U4" i="42"/>
  <c r="CL4" i="42" s="1"/>
  <c r="G4" i="42"/>
  <c r="J4" i="42" s="1"/>
  <c r="Z3" i="42"/>
  <c r="DI3" i="42" s="1"/>
  <c r="Y3" i="42"/>
  <c r="DB3" i="42" s="1"/>
  <c r="X3" i="42"/>
  <c r="DA3" i="42" s="1"/>
  <c r="W3" i="42"/>
  <c r="DF3" i="42" s="1"/>
  <c r="V3" i="42"/>
  <c r="DE3" i="42" s="1"/>
  <c r="U3" i="42"/>
  <c r="BT3" i="42" s="1"/>
  <c r="G3" i="42"/>
  <c r="DA8" i="46" l="1"/>
  <c r="BQ19" i="46"/>
  <c r="CC21" i="46"/>
  <c r="DA16" i="46"/>
  <c r="L7" i="40"/>
  <c r="L6" i="40"/>
  <c r="X10" i="51"/>
  <c r="AA10" i="51" s="1"/>
  <c r="V51" i="40"/>
  <c r="AC27" i="40"/>
  <c r="AC47" i="40"/>
  <c r="S51" i="40"/>
  <c r="X51" i="40"/>
  <c r="U51" i="40"/>
  <c r="N37" i="40"/>
  <c r="AC37" i="40"/>
  <c r="DE21" i="42"/>
  <c r="CM21" i="42"/>
  <c r="CG21" i="42"/>
  <c r="CA21" i="42"/>
  <c r="BU21" i="42"/>
  <c r="BO21" i="42"/>
  <c r="CK21" i="42"/>
  <c r="AT8" i="47"/>
  <c r="R40" i="40" s="1"/>
  <c r="R41" i="40" s="1"/>
  <c r="AT6" i="47"/>
  <c r="BJ6" i="47"/>
  <c r="BJ8" i="47" s="1"/>
  <c r="AF40" i="40" s="1"/>
  <c r="AC40" i="40" s="1"/>
  <c r="AF38" i="40"/>
  <c r="AC38" i="40" s="1"/>
  <c r="AH7" i="49"/>
  <c r="AH12" i="49" s="1"/>
  <c r="J48" i="40"/>
  <c r="AL7" i="49"/>
  <c r="AL12" i="49" s="1"/>
  <c r="L48" i="40"/>
  <c r="AP7" i="49"/>
  <c r="P48" i="40"/>
  <c r="N48" i="40" s="1"/>
  <c r="AT7" i="49"/>
  <c r="AT9" i="49" s="1"/>
  <c r="R50" i="40" s="1"/>
  <c r="R51" i="40" s="1"/>
  <c r="R48" i="40"/>
  <c r="AX6" i="47"/>
  <c r="AX8" i="47" s="1"/>
  <c r="T40" i="40" s="1"/>
  <c r="T41" i="40" s="1"/>
  <c r="BF6" i="47"/>
  <c r="BF8" i="47" s="1"/>
  <c r="Z40" i="40" s="1"/>
  <c r="Z41" i="40" s="1"/>
  <c r="CE21" i="42"/>
  <c r="DI21" i="42"/>
  <c r="AF28" i="40"/>
  <c r="BJ18" i="45"/>
  <c r="BJ20" i="45" s="1"/>
  <c r="AF30" i="40" s="1"/>
  <c r="AC30" i="40" s="1"/>
  <c r="M3" i="49"/>
  <c r="M5" i="49" s="1"/>
  <c r="J5" i="49"/>
  <c r="R38" i="40"/>
  <c r="Z38" i="40"/>
  <c r="AP8" i="47"/>
  <c r="P40" i="40" s="1"/>
  <c r="P41" i="40" s="1"/>
  <c r="AP6" i="47"/>
  <c r="BB6" i="47"/>
  <c r="BB8" i="47" s="1"/>
  <c r="W40" i="40" s="1"/>
  <c r="W41" i="40" s="1"/>
  <c r="W38" i="40"/>
  <c r="BY21" i="42"/>
  <c r="BS21" i="42"/>
  <c r="T38" i="40"/>
  <c r="M20" i="42"/>
  <c r="BZ27" i="42"/>
  <c r="CH28" i="42"/>
  <c r="AO31" i="42"/>
  <c r="DE31" i="42" s="1"/>
  <c r="BA31" i="42"/>
  <c r="BA34" i="42" s="1"/>
  <c r="V13" i="40" s="1"/>
  <c r="V14" i="40" s="1"/>
  <c r="J4" i="44"/>
  <c r="AO2" i="44"/>
  <c r="DG2" i="44" s="1"/>
  <c r="AL3" i="44"/>
  <c r="CQ3" i="44" s="1"/>
  <c r="M12" i="45"/>
  <c r="AH12" i="45"/>
  <c r="BS12" i="45" s="1"/>
  <c r="AT12" i="45"/>
  <c r="BF12" i="45"/>
  <c r="AT26" i="48"/>
  <c r="R45" i="40" s="1"/>
  <c r="R46" i="40" s="1"/>
  <c r="BB26" i="48"/>
  <c r="W45" i="40" s="1"/>
  <c r="W46" i="40" s="1"/>
  <c r="BJ26" i="48"/>
  <c r="AF45" i="40" s="1"/>
  <c r="AC45" i="40" s="1"/>
  <c r="AV24" i="48"/>
  <c r="AV26" i="48" s="1"/>
  <c r="S45" i="40" s="1"/>
  <c r="S46" i="40" s="1"/>
  <c r="BW5" i="49"/>
  <c r="CA5" i="49"/>
  <c r="CE5" i="49"/>
  <c r="CI5" i="49"/>
  <c r="CI7" i="49" s="1"/>
  <c r="CI9" i="49" s="1"/>
  <c r="CM5" i="49"/>
  <c r="CM9" i="49" s="1"/>
  <c r="CQ5" i="49"/>
  <c r="CU5" i="49"/>
  <c r="CY5" i="49"/>
  <c r="DC5" i="49"/>
  <c r="DG5" i="49"/>
  <c r="BI7" i="49"/>
  <c r="BI9" i="49" s="1"/>
  <c r="AB50" i="40" s="1"/>
  <c r="AB51" i="40" s="1"/>
  <c r="E49" i="40"/>
  <c r="M16" i="42"/>
  <c r="M23" i="42"/>
  <c r="M26" i="42"/>
  <c r="BP28" i="42"/>
  <c r="AS31" i="42"/>
  <c r="BC31" i="42"/>
  <c r="BC34" i="42" s="1"/>
  <c r="M3" i="44"/>
  <c r="AU8" i="44"/>
  <c r="AY8" i="44"/>
  <c r="BC8" i="44"/>
  <c r="BG8" i="44"/>
  <c r="AA25" i="40" s="1"/>
  <c r="AQ6" i="44"/>
  <c r="AQ8" i="44" s="1"/>
  <c r="BG6" i="44"/>
  <c r="M4" i="45"/>
  <c r="AL12" i="45"/>
  <c r="CO12" i="45" s="1"/>
  <c r="AV12" i="45"/>
  <c r="AV8" i="47"/>
  <c r="S40" i="40" s="1"/>
  <c r="BD8" i="47"/>
  <c r="X40" i="40" s="1"/>
  <c r="AR6" i="47"/>
  <c r="AR8" i="47" s="1"/>
  <c r="Q40" i="40" s="1"/>
  <c r="Q41" i="40" s="1"/>
  <c r="AZ6" i="47"/>
  <c r="AZ8" i="47" s="1"/>
  <c r="U40" i="40" s="1"/>
  <c r="U41" i="40" s="1"/>
  <c r="BH6" i="47"/>
  <c r="BH8" i="47" s="1"/>
  <c r="J22" i="48"/>
  <c r="AP24" i="48"/>
  <c r="AP26" i="48" s="1"/>
  <c r="P45" i="40" s="1"/>
  <c r="P46" i="40" s="1"/>
  <c r="AX24" i="48"/>
  <c r="AX26" i="48" s="1"/>
  <c r="T45" i="40" s="1"/>
  <c r="T46" i="40" s="1"/>
  <c r="BF24" i="48"/>
  <c r="BF26" i="48" s="1"/>
  <c r="Z45" i="40" s="1"/>
  <c r="Z46" i="40" s="1"/>
  <c r="BQ5" i="49"/>
  <c r="P23" i="40"/>
  <c r="R23" i="40"/>
  <c r="T23" i="40"/>
  <c r="Z23" i="40"/>
  <c r="Q38" i="40"/>
  <c r="S38" i="40"/>
  <c r="U38" i="40"/>
  <c r="W43" i="40"/>
  <c r="AF43" i="40"/>
  <c r="H48" i="40"/>
  <c r="M48" i="40"/>
  <c r="F48" i="40" s="1"/>
  <c r="T48" i="40"/>
  <c r="X48" i="40"/>
  <c r="Z48" i="40"/>
  <c r="N47" i="40"/>
  <c r="N49" i="40" s="1"/>
  <c r="E29" i="40"/>
  <c r="M19" i="42"/>
  <c r="AK31" i="42"/>
  <c r="CH31" i="42" s="1"/>
  <c r="AU31" i="42"/>
  <c r="M4" i="44"/>
  <c r="AX12" i="45"/>
  <c r="BJ54" i="46"/>
  <c r="AF35" i="40" s="1"/>
  <c r="AC35" i="40" s="1"/>
  <c r="K22" i="48"/>
  <c r="BD26" i="48"/>
  <c r="X45" i="40" s="1"/>
  <c r="X46" i="40" s="1"/>
  <c r="AR24" i="48"/>
  <c r="AR26" i="48" s="1"/>
  <c r="Q45" i="40" s="1"/>
  <c r="Q46" i="40" s="1"/>
  <c r="AZ24" i="48"/>
  <c r="AZ26" i="48" s="1"/>
  <c r="U45" i="40" s="1"/>
  <c r="U46" i="40" s="1"/>
  <c r="BH24" i="48"/>
  <c r="BH26" i="48" s="1"/>
  <c r="F47" i="40"/>
  <c r="M51" i="40"/>
  <c r="D49" i="40"/>
  <c r="AC33" i="40"/>
  <c r="AF34" i="40"/>
  <c r="AC34" i="40" s="1"/>
  <c r="AC48" i="40"/>
  <c r="AF49" i="40"/>
  <c r="AC49" i="40" s="1"/>
  <c r="AC28" i="40"/>
  <c r="AF29" i="40"/>
  <c r="AC29" i="40" s="1"/>
  <c r="AC43" i="40"/>
  <c r="AF44" i="40"/>
  <c r="AC44" i="40" s="1"/>
  <c r="AC18" i="40"/>
  <c r="AF19" i="40"/>
  <c r="AC19" i="40" s="1"/>
  <c r="AC6" i="40"/>
  <c r="O51" i="40"/>
  <c r="N12" i="40"/>
  <c r="DA12" i="45"/>
  <c r="F27" i="40"/>
  <c r="F12" i="40"/>
  <c r="N6" i="40"/>
  <c r="BQ11" i="45"/>
  <c r="X41" i="40"/>
  <c r="CR31" i="42"/>
  <c r="G4" i="47"/>
  <c r="D38" i="40" s="1"/>
  <c r="M11" i="42"/>
  <c r="CO11" i="45"/>
  <c r="S41" i="40"/>
  <c r="V41" i="40"/>
  <c r="CR38" i="46"/>
  <c r="CI11" i="45"/>
  <c r="CC6" i="46"/>
  <c r="M12" i="42"/>
  <c r="DD2" i="45"/>
  <c r="BQ21" i="46"/>
  <c r="DH27" i="46"/>
  <c r="CJ28" i="46"/>
  <c r="BW32" i="46"/>
  <c r="AU12" i="42"/>
  <c r="CV31" i="42"/>
  <c r="CV28" i="46"/>
  <c r="DG29" i="46"/>
  <c r="DG30" i="46"/>
  <c r="CH33" i="46"/>
  <c r="G11" i="45"/>
  <c r="J11" i="45" s="1"/>
  <c r="K11" i="45" s="1"/>
  <c r="BK11" i="45" s="1"/>
  <c r="BY7" i="46"/>
  <c r="CT23" i="46"/>
  <c r="CZ22" i="48"/>
  <c r="CZ24" i="48" s="1"/>
  <c r="CZ26" i="48" s="1"/>
  <c r="BS7" i="43"/>
  <c r="CQ6" i="46"/>
  <c r="CW7" i="46"/>
  <c r="CK7" i="46"/>
  <c r="BY20" i="46"/>
  <c r="CA31" i="46"/>
  <c r="CN2" i="45"/>
  <c r="CS11" i="45"/>
  <c r="DC11" i="45"/>
  <c r="BO33" i="46"/>
  <c r="CM39" i="46"/>
  <c r="CL6" i="42"/>
  <c r="CN6" i="43"/>
  <c r="CD7" i="43"/>
  <c r="CF2" i="45"/>
  <c r="CV2" i="45"/>
  <c r="BS4" i="45"/>
  <c r="CU4" i="45"/>
  <c r="DI11" i="45"/>
  <c r="BO6" i="46"/>
  <c r="CY6" i="46"/>
  <c r="DG7" i="46"/>
  <c r="BP22" i="46"/>
  <c r="BZ23" i="46"/>
  <c r="CH27" i="46"/>
  <c r="CU29" i="46"/>
  <c r="CV37" i="46"/>
  <c r="BX39" i="46"/>
  <c r="BW40" i="46"/>
  <c r="BP6" i="42"/>
  <c r="CJ3" i="42"/>
  <c r="BT4" i="42"/>
  <c r="CC5" i="42"/>
  <c r="DH6" i="42"/>
  <c r="BW7" i="42"/>
  <c r="BO7" i="43"/>
  <c r="DB7" i="43"/>
  <c r="CJ2" i="45"/>
  <c r="CZ2" i="45"/>
  <c r="BW4" i="45"/>
  <c r="CY4" i="45"/>
  <c r="CH7" i="45"/>
  <c r="BY11" i="45"/>
  <c r="DF4" i="46"/>
  <c r="BW6" i="46"/>
  <c r="DG6" i="46"/>
  <c r="BU8" i="46"/>
  <c r="CP23" i="46"/>
  <c r="CN24" i="46"/>
  <c r="CO43" i="46"/>
  <c r="CI7" i="42"/>
  <c r="BW8" i="43"/>
  <c r="CA4" i="45"/>
  <c r="DC4" i="45"/>
  <c r="CG11" i="45"/>
  <c r="CG8" i="46"/>
  <c r="DG31" i="46"/>
  <c r="BR34" i="46"/>
  <c r="DD38" i="46"/>
  <c r="CV39" i="46"/>
  <c r="DB40" i="46"/>
  <c r="CD41" i="46"/>
  <c r="BX6" i="42"/>
  <c r="BF11" i="42"/>
  <c r="BF36" i="42" s="1"/>
  <c r="CT31" i="42"/>
  <c r="BW6" i="43"/>
  <c r="BY7" i="43"/>
  <c r="CB2" i="45"/>
  <c r="CR2" i="45"/>
  <c r="DH2" i="45"/>
  <c r="BO4" i="45"/>
  <c r="CE4" i="45"/>
  <c r="DG4" i="45"/>
  <c r="CY11" i="45"/>
  <c r="CE6" i="46"/>
  <c r="CK21" i="46"/>
  <c r="DH28" i="46"/>
  <c r="CI29" i="46"/>
  <c r="CL32" i="46"/>
  <c r="CH34" i="46"/>
  <c r="CH35" i="46"/>
  <c r="CN37" i="46"/>
  <c r="DH39" i="46"/>
  <c r="K9" i="42"/>
  <c r="M9" i="42" s="1"/>
  <c r="DE5" i="42"/>
  <c r="BX3" i="42"/>
  <c r="BQ5" i="42"/>
  <c r="BY5" i="42"/>
  <c r="CS5" i="42"/>
  <c r="DA5" i="42"/>
  <c r="DI5" i="42"/>
  <c r="BV6" i="42"/>
  <c r="CF6" i="42"/>
  <c r="DB6" i="42"/>
  <c r="BR7" i="42"/>
  <c r="CB7" i="42"/>
  <c r="DD7" i="42"/>
  <c r="AV11" i="42"/>
  <c r="BI38" i="42"/>
  <c r="AB15" i="40" s="1"/>
  <c r="AB13" i="40"/>
  <c r="AB14" i="40" s="1"/>
  <c r="CZ6" i="43"/>
  <c r="CL7" i="43"/>
  <c r="BO8" i="43"/>
  <c r="CE8" i="43"/>
  <c r="CU8" i="43"/>
  <c r="BN7" i="45"/>
  <c r="BV7" i="45"/>
  <c r="CD7" i="45"/>
  <c r="CL7" i="45"/>
  <c r="DF7" i="45"/>
  <c r="DA11" i="45"/>
  <c r="BU11" i="45"/>
  <c r="CC11" i="45"/>
  <c r="CK11" i="45"/>
  <c r="CU11" i="45"/>
  <c r="DE11" i="45"/>
  <c r="BN4" i="46"/>
  <c r="CH4" i="46"/>
  <c r="CX4" i="46"/>
  <c r="BS6" i="46"/>
  <c r="CA6" i="46"/>
  <c r="CU6" i="46"/>
  <c r="DC6" i="46"/>
  <c r="BQ7" i="46"/>
  <c r="CG7" i="46"/>
  <c r="BO8" i="46"/>
  <c r="CC8" i="46"/>
  <c r="CM8" i="46"/>
  <c r="DE8" i="46"/>
  <c r="K27" i="46"/>
  <c r="AH27" i="46" s="1"/>
  <c r="BS27" i="46" s="1"/>
  <c r="CW5" i="42"/>
  <c r="G34" i="42"/>
  <c r="D13" i="40" s="1"/>
  <c r="CF3" i="42"/>
  <c r="BS5" i="42"/>
  <c r="CA5" i="42"/>
  <c r="CU5" i="42"/>
  <c r="DC5" i="42"/>
  <c r="BN6" i="42"/>
  <c r="BW6" i="42"/>
  <c r="CI6" i="42"/>
  <c r="DD6" i="42"/>
  <c r="DB7" i="42"/>
  <c r="BV7" i="42"/>
  <c r="CF7" i="42"/>
  <c r="CT7" i="42"/>
  <c r="DH7" i="42"/>
  <c r="AY11" i="42"/>
  <c r="AY36" i="42" s="1"/>
  <c r="BP6" i="43"/>
  <c r="CI6" i="43"/>
  <c r="DG6" i="43"/>
  <c r="BZ7" i="43"/>
  <c r="CW7" i="43"/>
  <c r="BP8" i="43"/>
  <c r="CI8" i="43"/>
  <c r="CZ8" i="43"/>
  <c r="BZ2" i="45"/>
  <c r="CH2" i="45"/>
  <c r="CP2" i="45"/>
  <c r="CX2" i="45"/>
  <c r="DF2" i="45"/>
  <c r="BU4" i="45"/>
  <c r="CC4" i="45"/>
  <c r="CW4" i="45"/>
  <c r="DE4" i="45"/>
  <c r="J5" i="45"/>
  <c r="K5" i="45" s="1"/>
  <c r="M5" i="45" s="1"/>
  <c r="BP7" i="45"/>
  <c r="BX7" i="45"/>
  <c r="CF7" i="45"/>
  <c r="CN7" i="45"/>
  <c r="DH7" i="45"/>
  <c r="BW11" i="45"/>
  <c r="CE11" i="45"/>
  <c r="CM11" i="45"/>
  <c r="CW11" i="45"/>
  <c r="DG11" i="45"/>
  <c r="CY12" i="45"/>
  <c r="BR4" i="46"/>
  <c r="CL4" i="46"/>
  <c r="DB4" i="46"/>
  <c r="BU6" i="46"/>
  <c r="CW6" i="46"/>
  <c r="DE6" i="46"/>
  <c r="CU7" i="46"/>
  <c r="BU7" i="46"/>
  <c r="CI7" i="46"/>
  <c r="DE7" i="46"/>
  <c r="BQ8" i="46"/>
  <c r="CE8" i="46"/>
  <c r="CO8" i="46"/>
  <c r="CM9" i="46"/>
  <c r="CG9" i="46"/>
  <c r="BU9" i="46"/>
  <c r="CS9" i="46"/>
  <c r="BR7" i="45"/>
  <c r="BZ7" i="45"/>
  <c r="CP7" i="45"/>
  <c r="BO11" i="45"/>
  <c r="CQ11" i="45"/>
  <c r="BZ4" i="46"/>
  <c r="CP4" i="46"/>
  <c r="BU5" i="42"/>
  <c r="BX4" i="42"/>
  <c r="BO5" i="42"/>
  <c r="BW5" i="42"/>
  <c r="BR6" i="42"/>
  <c r="CD6" i="42"/>
  <c r="CN6" i="42"/>
  <c r="BN7" i="42"/>
  <c r="BX7" i="42"/>
  <c r="CL7" i="42"/>
  <c r="CV7" i="42"/>
  <c r="CB6" i="43"/>
  <c r="CU6" i="43"/>
  <c r="BU7" i="43"/>
  <c r="CG7" i="43"/>
  <c r="DE7" i="43"/>
  <c r="CB8" i="43"/>
  <c r="CN8" i="43"/>
  <c r="DG8" i="43"/>
  <c r="DE3" i="44"/>
  <c r="CD2" i="45"/>
  <c r="BQ4" i="45"/>
  <c r="BY4" i="45"/>
  <c r="BT7" i="45"/>
  <c r="BS11" i="45"/>
  <c r="CA11" i="45"/>
  <c r="CD4" i="46"/>
  <c r="CT4" i="46"/>
  <c r="BQ6" i="46"/>
  <c r="BY6" i="46"/>
  <c r="CC7" i="46"/>
  <c r="CO7" i="46"/>
  <c r="DI7" i="46"/>
  <c r="CY8" i="46"/>
  <c r="DC8" i="46"/>
  <c r="BY8" i="46"/>
  <c r="CK8" i="46"/>
  <c r="CW8" i="46"/>
  <c r="CU9" i="46"/>
  <c r="DA9" i="46"/>
  <c r="BW9" i="46"/>
  <c r="CC9" i="46"/>
  <c r="BQ9" i="46"/>
  <c r="CO9" i="46"/>
  <c r="BY9" i="46"/>
  <c r="CK11" i="46"/>
  <c r="BT14" i="46"/>
  <c r="CB14" i="46"/>
  <c r="CV14" i="46"/>
  <c r="DD14" i="46"/>
  <c r="DE15" i="46"/>
  <c r="BY16" i="46"/>
  <c r="CO16" i="46"/>
  <c r="CC17" i="46"/>
  <c r="CS17" i="46"/>
  <c r="BY19" i="46"/>
  <c r="CO19" i="46"/>
  <c r="DE19" i="46"/>
  <c r="CG20" i="46"/>
  <c r="CW20" i="46"/>
  <c r="DA21" i="46"/>
  <c r="BX22" i="46"/>
  <c r="CR22" i="46"/>
  <c r="CZ22" i="46"/>
  <c r="DH22" i="46"/>
  <c r="CA25" i="46"/>
  <c r="CQ25" i="46"/>
  <c r="BX30" i="46"/>
  <c r="CR30" i="46"/>
  <c r="BR31" i="46"/>
  <c r="CX31" i="46"/>
  <c r="DC32" i="46"/>
  <c r="CU33" i="46"/>
  <c r="CU34" i="46"/>
  <c r="BW37" i="46"/>
  <c r="DG42" i="46"/>
  <c r="CU42" i="46"/>
  <c r="CI42" i="46"/>
  <c r="BW42" i="46"/>
  <c r="BN14" i="46"/>
  <c r="BV14" i="46"/>
  <c r="CD14" i="46"/>
  <c r="CX14" i="46"/>
  <c r="DF14" i="46"/>
  <c r="DI15" i="46"/>
  <c r="DC16" i="46"/>
  <c r="CC16" i="46"/>
  <c r="CS16" i="46"/>
  <c r="BQ17" i="46"/>
  <c r="CG17" i="46"/>
  <c r="CW17" i="46"/>
  <c r="CC19" i="46"/>
  <c r="CS19" i="46"/>
  <c r="DI19" i="46"/>
  <c r="CK20" i="46"/>
  <c r="DA20" i="46"/>
  <c r="BU21" i="46"/>
  <c r="CO21" i="46"/>
  <c r="DE21" i="46"/>
  <c r="BR22" i="46"/>
  <c r="BZ22" i="46"/>
  <c r="CT22" i="46"/>
  <c r="DB22" i="46"/>
  <c r="BN23" i="46"/>
  <c r="CD23" i="46"/>
  <c r="CE25" i="46"/>
  <c r="CU25" i="46"/>
  <c r="CB28" i="46"/>
  <c r="CN28" i="46"/>
  <c r="BO29" i="46"/>
  <c r="CJ29" i="46"/>
  <c r="CV29" i="46"/>
  <c r="DH29" i="46"/>
  <c r="CF30" i="46"/>
  <c r="CU30" i="46"/>
  <c r="DH30" i="46"/>
  <c r="BS31" i="46"/>
  <c r="CD31" i="46"/>
  <c r="CY31" i="46"/>
  <c r="CD32" i="46"/>
  <c r="CQ32" i="46"/>
  <c r="DF32" i="46"/>
  <c r="BV33" i="46"/>
  <c r="CI33" i="46"/>
  <c r="DF33" i="46"/>
  <c r="BV34" i="46"/>
  <c r="CI34" i="46"/>
  <c r="CY34" i="46"/>
  <c r="CI35" i="46"/>
  <c r="BZ37" i="46"/>
  <c r="CZ37" i="46"/>
  <c r="CF38" i="46"/>
  <c r="CU38" i="46"/>
  <c r="DG38" i="46"/>
  <c r="BP39" i="46"/>
  <c r="CF39" i="46"/>
  <c r="BN40" i="46"/>
  <c r="BZ40" i="46"/>
  <c r="CU40" i="46"/>
  <c r="DG40" i="46"/>
  <c r="BN41" i="46"/>
  <c r="CH41" i="46"/>
  <c r="CW9" i="46"/>
  <c r="BP14" i="46"/>
  <c r="BX14" i="46"/>
  <c r="CR14" i="46"/>
  <c r="CZ14" i="46"/>
  <c r="DH14" i="46"/>
  <c r="CY15" i="46"/>
  <c r="BQ16" i="46"/>
  <c r="CG16" i="46"/>
  <c r="CW16" i="46"/>
  <c r="BU17" i="46"/>
  <c r="CK17" i="46"/>
  <c r="DA17" i="46"/>
  <c r="CG19" i="46"/>
  <c r="CW19" i="46"/>
  <c r="BQ20" i="46"/>
  <c r="CO20" i="46"/>
  <c r="DE20" i="46"/>
  <c r="BY21" i="46"/>
  <c r="CS21" i="46"/>
  <c r="DI21" i="46"/>
  <c r="BT22" i="46"/>
  <c r="CB22" i="46"/>
  <c r="CV22" i="46"/>
  <c r="DD22" i="46"/>
  <c r="BR23" i="46"/>
  <c r="CH23" i="46"/>
  <c r="DB23" i="46"/>
  <c r="BS25" i="46"/>
  <c r="CI25" i="46"/>
  <c r="CY25" i="46"/>
  <c r="BV27" i="46"/>
  <c r="CU27" i="46"/>
  <c r="CF28" i="46"/>
  <c r="CR28" i="46"/>
  <c r="DD28" i="46"/>
  <c r="CE29" i="46"/>
  <c r="BT30" i="46"/>
  <c r="CI30" i="46"/>
  <c r="CV30" i="46"/>
  <c r="BN31" i="46"/>
  <c r="BW31" i="46"/>
  <c r="CE31" i="46"/>
  <c r="DB31" i="46"/>
  <c r="CH32" i="46"/>
  <c r="DG32" i="46"/>
  <c r="BW33" i="46"/>
  <c r="CL33" i="46"/>
  <c r="BW34" i="46"/>
  <c r="CM34" i="46"/>
  <c r="BV35" i="46"/>
  <c r="CI37" i="46"/>
  <c r="CT37" i="46"/>
  <c r="CI38" i="46"/>
  <c r="CV38" i="46"/>
  <c r="DH38" i="46"/>
  <c r="BT39" i="46"/>
  <c r="CI39" i="46"/>
  <c r="CR39" i="46"/>
  <c r="DD39" i="46"/>
  <c r="BQ40" i="46"/>
  <c r="CC40" i="46"/>
  <c r="CX40" i="46"/>
  <c r="BV41" i="46"/>
  <c r="CI41" i="46"/>
  <c r="DF41" i="46"/>
  <c r="CK9" i="46"/>
  <c r="BR14" i="46"/>
  <c r="DA15" i="46"/>
  <c r="BU16" i="46"/>
  <c r="CK16" i="46"/>
  <c r="DE16" i="46"/>
  <c r="BY17" i="46"/>
  <c r="CO17" i="46"/>
  <c r="BU19" i="46"/>
  <c r="CK19" i="46"/>
  <c r="DA19" i="46"/>
  <c r="CC20" i="46"/>
  <c r="CS20" i="46"/>
  <c r="DI20" i="46"/>
  <c r="CG21" i="46"/>
  <c r="CW21" i="46"/>
  <c r="BN22" i="46"/>
  <c r="BV22" i="46"/>
  <c r="CR23" i="46"/>
  <c r="BV23" i="46"/>
  <c r="CL23" i="46"/>
  <c r="DF23" i="46"/>
  <c r="BW25" i="46"/>
  <c r="CM25" i="46"/>
  <c r="CC27" i="46"/>
  <c r="DD27" i="46"/>
  <c r="CI28" i="46"/>
  <c r="CU28" i="46"/>
  <c r="DG28" i="46"/>
  <c r="CF29" i="46"/>
  <c r="CR29" i="46"/>
  <c r="DD29" i="46"/>
  <c r="BW30" i="46"/>
  <c r="CJ30" i="46"/>
  <c r="DD30" i="46"/>
  <c r="BZ31" i="46"/>
  <c r="CU31" i="46"/>
  <c r="BV32" i="46"/>
  <c r="CI32" i="46"/>
  <c r="BO34" i="46"/>
  <c r="CT34" i="46"/>
  <c r="BW35" i="46"/>
  <c r="CU35" i="46"/>
  <c r="BV37" i="46"/>
  <c r="CU37" i="46"/>
  <c r="DG37" i="46"/>
  <c r="CJ38" i="46"/>
  <c r="BW39" i="46"/>
  <c r="CJ39" i="46"/>
  <c r="CU39" i="46"/>
  <c r="DG39" i="46"/>
  <c r="BR40" i="46"/>
  <c r="CD40" i="46"/>
  <c r="BW41" i="46"/>
  <c r="DG41" i="46"/>
  <c r="DF42" i="46"/>
  <c r="BV42" i="46"/>
  <c r="CT42" i="46"/>
  <c r="CH42" i="46"/>
  <c r="BN42" i="46"/>
  <c r="BW43" i="46"/>
  <c r="CY20" i="48"/>
  <c r="CY22" i="48" s="1"/>
  <c r="DA20" i="48"/>
  <c r="DA22" i="48" s="1"/>
  <c r="DC20" i="48"/>
  <c r="DC22" i="48" s="1"/>
  <c r="DC24" i="48" s="1"/>
  <c r="DC26" i="48" s="1"/>
  <c r="BQ43" i="46"/>
  <c r="CU43" i="46"/>
  <c r="BT7" i="49"/>
  <c r="BT9" i="49" s="1"/>
  <c r="BX7" i="49"/>
  <c r="BX9" i="49" s="1"/>
  <c r="CB7" i="49"/>
  <c r="CB9" i="49" s="1"/>
  <c r="CF7" i="49"/>
  <c r="CF9" i="49" s="1"/>
  <c r="CJ7" i="49"/>
  <c r="CJ9" i="49" s="1"/>
  <c r="CN7" i="49"/>
  <c r="CN9" i="49" s="1"/>
  <c r="CR7" i="49"/>
  <c r="CR9" i="49" s="1"/>
  <c r="CV7" i="49"/>
  <c r="CV9" i="49" s="1"/>
  <c r="CZ7" i="49"/>
  <c r="CZ9" i="49" s="1"/>
  <c r="DD7" i="49"/>
  <c r="DD9" i="49" s="1"/>
  <c r="DH7" i="49"/>
  <c r="DH9" i="49" s="1"/>
  <c r="BQ7" i="49"/>
  <c r="BQ9" i="49" s="1"/>
  <c r="AJ12" i="49"/>
  <c r="AJ9" i="49"/>
  <c r="M50" i="40" s="1"/>
  <c r="AN12" i="49"/>
  <c r="AN9" i="49"/>
  <c r="H50" i="40" s="1"/>
  <c r="H51" i="40" s="1"/>
  <c r="BV9" i="49"/>
  <c r="BU7" i="49"/>
  <c r="BU9" i="49"/>
  <c r="BY7" i="49"/>
  <c r="BY9" i="49" s="1"/>
  <c r="CC7" i="49"/>
  <c r="CC9" i="49" s="1"/>
  <c r="CG7" i="49"/>
  <c r="CG9" i="49" s="1"/>
  <c r="CK7" i="49"/>
  <c r="CK9" i="49" s="1"/>
  <c r="CO7" i="49"/>
  <c r="CO9" i="49" s="1"/>
  <c r="CS7" i="49"/>
  <c r="CS9" i="49"/>
  <c r="CW7" i="49"/>
  <c r="CW9" i="49" s="1"/>
  <c r="DA7" i="49"/>
  <c r="DA9" i="49"/>
  <c r="DE7" i="49"/>
  <c r="DE9" i="49" s="1"/>
  <c r="DI7" i="49"/>
  <c r="DI9" i="49" s="1"/>
  <c r="BO7" i="49"/>
  <c r="BO9" i="49" s="1"/>
  <c r="BS9" i="49"/>
  <c r="BS7" i="49"/>
  <c r="BC9" i="49"/>
  <c r="CA7" i="49"/>
  <c r="CA9" i="49" s="1"/>
  <c r="CE9" i="49"/>
  <c r="CE7" i="49"/>
  <c r="CM7" i="49"/>
  <c r="CQ7" i="49"/>
  <c r="CQ9" i="49" s="1"/>
  <c r="CU7" i="49"/>
  <c r="CU9" i="49" s="1"/>
  <c r="CY7" i="49"/>
  <c r="CY9" i="49" s="1"/>
  <c r="DG7" i="49"/>
  <c r="DG9" i="49" s="1"/>
  <c r="AW9" i="49"/>
  <c r="AW7" i="49"/>
  <c r="BP7" i="49"/>
  <c r="BP9" i="49" s="1"/>
  <c r="AI7" i="49"/>
  <c r="AI12" i="49" s="1"/>
  <c r="AM7" i="49"/>
  <c r="AM12" i="49" s="1"/>
  <c r="AQ7" i="49"/>
  <c r="AQ9" i="49" s="1"/>
  <c r="AU7" i="49"/>
  <c r="AU9" i="49" s="1"/>
  <c r="AY7" i="49"/>
  <c r="AY9" i="49" s="1"/>
  <c r="BC7" i="49"/>
  <c r="BG7" i="49"/>
  <c r="BG9" i="49" s="1"/>
  <c r="AA50" i="40" s="1"/>
  <c r="AA51" i="40" s="1"/>
  <c r="BN7" i="49"/>
  <c r="BN9" i="49" s="1"/>
  <c r="BR7" i="49"/>
  <c r="BR9" i="49" s="1"/>
  <c r="BV7" i="49"/>
  <c r="BZ7" i="49"/>
  <c r="BZ9" i="49" s="1"/>
  <c r="CD7" i="49"/>
  <c r="CD9" i="49" s="1"/>
  <c r="CH7" i="49"/>
  <c r="CH9" i="49" s="1"/>
  <c r="CL7" i="49"/>
  <c r="CL9" i="49" s="1"/>
  <c r="CP7" i="49"/>
  <c r="CP9" i="49" s="1"/>
  <c r="CT7" i="49"/>
  <c r="CT9" i="49" s="1"/>
  <c r="CX7" i="49"/>
  <c r="CX9" i="49" s="1"/>
  <c r="DB7" i="49"/>
  <c r="DB9" i="49" s="1"/>
  <c r="DF7" i="49"/>
  <c r="DF9" i="49" s="1"/>
  <c r="AH9" i="49"/>
  <c r="J50" i="40" s="1"/>
  <c r="J51" i="40" s="1"/>
  <c r="AP9" i="49"/>
  <c r="P50" i="40" s="1"/>
  <c r="P51" i="40" s="1"/>
  <c r="AX9" i="49"/>
  <c r="T50" i="40" s="1"/>
  <c r="T51" i="40" s="1"/>
  <c r="BB9" i="49"/>
  <c r="W50" i="40" s="1"/>
  <c r="W51" i="40" s="1"/>
  <c r="BF9" i="49"/>
  <c r="Z50" i="40" s="1"/>
  <c r="Z51" i="40" s="1"/>
  <c r="BJ9" i="49"/>
  <c r="AF50" i="40" s="1"/>
  <c r="AC50" i="40" s="1"/>
  <c r="AK12" i="49"/>
  <c r="DH21" i="48"/>
  <c r="DH22" i="48" s="1"/>
  <c r="DD21" i="48"/>
  <c r="DD22" i="48" s="1"/>
  <c r="DG21" i="48"/>
  <c r="DG22" i="48" s="1"/>
  <c r="AO22" i="48"/>
  <c r="O43" i="40" s="1"/>
  <c r="N43" i="40" s="1"/>
  <c r="N44" i="40" s="1"/>
  <c r="DF21" i="48"/>
  <c r="DF22" i="48" s="1"/>
  <c r="DI21" i="48"/>
  <c r="DI22" i="48" s="1"/>
  <c r="DE21" i="48"/>
  <c r="DE22" i="48" s="1"/>
  <c r="AM24" i="48"/>
  <c r="AM29" i="48" s="1"/>
  <c r="CT20" i="48"/>
  <c r="CT22" i="48" s="1"/>
  <c r="CX20" i="48"/>
  <c r="CX22" i="48" s="1"/>
  <c r="DB20" i="48"/>
  <c r="DB22" i="48" s="1"/>
  <c r="AJ21" i="48"/>
  <c r="AN22" i="48"/>
  <c r="H43" i="40" s="1"/>
  <c r="AQ24" i="48"/>
  <c r="AQ26" i="48" s="1"/>
  <c r="AU24" i="48"/>
  <c r="AU26" i="48" s="1"/>
  <c r="AY24" i="48"/>
  <c r="AY26" i="48" s="1"/>
  <c r="BC24" i="48"/>
  <c r="BC26" i="48" s="1"/>
  <c r="BG24" i="48"/>
  <c r="BG26" i="48" s="1"/>
  <c r="AA45" i="40" s="1"/>
  <c r="AA46" i="40" s="1"/>
  <c r="CU20" i="48"/>
  <c r="CU22" i="48" s="1"/>
  <c r="AK21" i="48"/>
  <c r="CR20" i="48"/>
  <c r="CR22" i="48" s="1"/>
  <c r="CV20" i="48"/>
  <c r="CV22" i="48" s="1"/>
  <c r="AH21" i="48"/>
  <c r="AL21" i="48"/>
  <c r="AS24" i="48"/>
  <c r="AS26" i="48" s="1"/>
  <c r="AW24" i="48"/>
  <c r="AW26" i="48" s="1"/>
  <c r="BA24" i="48"/>
  <c r="BA26" i="48" s="1"/>
  <c r="V45" i="40" s="1"/>
  <c r="V46" i="40" s="1"/>
  <c r="BE24" i="48"/>
  <c r="BE26" i="48" s="1"/>
  <c r="Y45" i="40" s="1"/>
  <c r="Y46" i="40" s="1"/>
  <c r="BI24" i="48"/>
  <c r="BI26" i="48" s="1"/>
  <c r="AB45" i="40" s="1"/>
  <c r="AB46" i="40" s="1"/>
  <c r="BK20" i="48"/>
  <c r="CS20" i="48"/>
  <c r="CS22" i="48" s="1"/>
  <c r="CW20" i="48"/>
  <c r="CW22" i="48" s="1"/>
  <c r="AI21" i="48"/>
  <c r="AY8" i="47"/>
  <c r="J2" i="47"/>
  <c r="K3" i="47"/>
  <c r="AQ6" i="47"/>
  <c r="AQ8" i="47" s="1"/>
  <c r="AU6" i="47"/>
  <c r="AU8" i="47" s="1"/>
  <c r="AY6" i="47"/>
  <c r="BC6" i="47"/>
  <c r="BC8" i="47" s="1"/>
  <c r="BG6" i="47"/>
  <c r="BG8" i="47" s="1"/>
  <c r="AA40" i="40" s="1"/>
  <c r="AA41" i="40" s="1"/>
  <c r="AS6" i="47"/>
  <c r="AS8" i="47" s="1"/>
  <c r="AW6" i="47"/>
  <c r="AW8" i="47" s="1"/>
  <c r="BA6" i="47"/>
  <c r="BA8" i="47" s="1"/>
  <c r="V40" i="40" s="1"/>
  <c r="BE6" i="47"/>
  <c r="BE8" i="47" s="1"/>
  <c r="Y40" i="40" s="1"/>
  <c r="Y41" i="40" s="1"/>
  <c r="BI6" i="47"/>
  <c r="BI8" i="47" s="1"/>
  <c r="AB40" i="40" s="1"/>
  <c r="AB41" i="40" s="1"/>
  <c r="BV4" i="46"/>
  <c r="AJ5" i="46"/>
  <c r="CB5" i="46" s="1"/>
  <c r="BX3" i="46"/>
  <c r="CF3" i="46"/>
  <c r="CN3" i="46"/>
  <c r="CV3" i="46"/>
  <c r="DD3" i="46"/>
  <c r="BT5" i="46"/>
  <c r="CJ5" i="46"/>
  <c r="CR5" i="46"/>
  <c r="DH5" i="46"/>
  <c r="CO6" i="46"/>
  <c r="BK7" i="46"/>
  <c r="CS7" i="46"/>
  <c r="AX9" i="46"/>
  <c r="AH11" i="46"/>
  <c r="BK11" i="46" s="1"/>
  <c r="K15" i="46"/>
  <c r="M15" i="46" s="1"/>
  <c r="BZ3" i="46"/>
  <c r="CH3" i="46"/>
  <c r="CP3" i="46"/>
  <c r="CX3" i="46"/>
  <c r="DF3" i="46"/>
  <c r="BP4" i="46"/>
  <c r="BX4" i="46"/>
  <c r="CF4" i="46"/>
  <c r="CN4" i="46"/>
  <c r="CV4" i="46"/>
  <c r="DD4" i="46"/>
  <c r="BN5" i="46"/>
  <c r="BV5" i="46"/>
  <c r="CL5" i="46"/>
  <c r="CT5" i="46"/>
  <c r="DB5" i="46"/>
  <c r="M6" i="46"/>
  <c r="CZ6" i="46"/>
  <c r="CN6" i="46"/>
  <c r="CB6" i="46"/>
  <c r="BP6" i="46"/>
  <c r="DF6" i="46"/>
  <c r="CT6" i="46"/>
  <c r="BV6" i="46"/>
  <c r="AK6" i="46"/>
  <c r="M7" i="46"/>
  <c r="BO7" i="46"/>
  <c r="BW7" i="46"/>
  <c r="CE7" i="46"/>
  <c r="CM7" i="46"/>
  <c r="DC7" i="46"/>
  <c r="BS8" i="46"/>
  <c r="CA8" i="46"/>
  <c r="CI8" i="46"/>
  <c r="CQ8" i="46"/>
  <c r="DG8" i="46"/>
  <c r="M9" i="46"/>
  <c r="AR9" i="46"/>
  <c r="AZ9" i="46"/>
  <c r="BH9" i="46"/>
  <c r="BS9" i="46"/>
  <c r="CA9" i="46"/>
  <c r="CI9" i="46"/>
  <c r="CQ9" i="46"/>
  <c r="CY9" i="46"/>
  <c r="M11" i="46"/>
  <c r="DA11" i="46"/>
  <c r="CO11" i="46"/>
  <c r="CC11" i="46"/>
  <c r="DG11" i="46"/>
  <c r="CU11" i="46"/>
  <c r="CI11" i="46"/>
  <c r="BW11" i="46"/>
  <c r="AN24" i="46"/>
  <c r="BK24" i="46" s="1"/>
  <c r="G50" i="46"/>
  <c r="D33" i="40" s="1"/>
  <c r="J3" i="46"/>
  <c r="BT3" i="46"/>
  <c r="CJ3" i="46"/>
  <c r="CZ3" i="46"/>
  <c r="BP5" i="46"/>
  <c r="CF5" i="46"/>
  <c r="CN5" i="46"/>
  <c r="CV5" i="46"/>
  <c r="DD5" i="46"/>
  <c r="CZ8" i="46"/>
  <c r="CB3" i="46"/>
  <c r="CR3" i="46"/>
  <c r="DH3" i="46"/>
  <c r="BX5" i="46"/>
  <c r="BK8" i="46"/>
  <c r="AT9" i="46"/>
  <c r="BB9" i="46"/>
  <c r="BV3" i="46"/>
  <c r="CD3" i="46"/>
  <c r="M4" i="46"/>
  <c r="BT4" i="46"/>
  <c r="CB4" i="46"/>
  <c r="CJ4" i="46"/>
  <c r="BR5" i="46"/>
  <c r="CH5" i="46"/>
  <c r="DF5" i="46"/>
  <c r="DD6" i="46"/>
  <c r="CR6" i="46"/>
  <c r="BT6" i="46"/>
  <c r="CX6" i="46"/>
  <c r="CL6" i="46"/>
  <c r="BZ6" i="46"/>
  <c r="BN6" i="46"/>
  <c r="DH6" i="46"/>
  <c r="CV6" i="46"/>
  <c r="BX6" i="46"/>
  <c r="DB6" i="46"/>
  <c r="CP6" i="46"/>
  <c r="CD6" i="46"/>
  <c r="BR6" i="46"/>
  <c r="CM6" i="46"/>
  <c r="BS7" i="46"/>
  <c r="CA7" i="46"/>
  <c r="M8" i="46"/>
  <c r="BW8" i="46"/>
  <c r="AV9" i="46"/>
  <c r="BO9" i="46"/>
  <c r="CE9" i="46"/>
  <c r="DE11" i="46"/>
  <c r="CS11" i="46"/>
  <c r="CG11" i="46"/>
  <c r="BU11" i="46"/>
  <c r="CY11" i="46"/>
  <c r="CM11" i="46"/>
  <c r="CA11" i="46"/>
  <c r="BO11" i="46"/>
  <c r="DI11" i="46"/>
  <c r="CW11" i="46"/>
  <c r="BY11" i="46"/>
  <c r="DC11" i="46"/>
  <c r="CE11" i="46"/>
  <c r="BK4" i="46"/>
  <c r="M5" i="46"/>
  <c r="BI9" i="46"/>
  <c r="BE9" i="46"/>
  <c r="BA9" i="46"/>
  <c r="AW9" i="46"/>
  <c r="AS9" i="46"/>
  <c r="AO9" i="46"/>
  <c r="DG9" i="46" s="1"/>
  <c r="BG9" i="46"/>
  <c r="BC9" i="46"/>
  <c r="AY9" i="46"/>
  <c r="AU9" i="46"/>
  <c r="AQ9" i="46"/>
  <c r="AP9" i="46"/>
  <c r="BF9" i="46"/>
  <c r="BW3" i="46"/>
  <c r="CA3" i="46"/>
  <c r="CE3" i="46"/>
  <c r="CI3" i="46"/>
  <c r="CM3" i="46"/>
  <c r="CQ3" i="46"/>
  <c r="CU3" i="46"/>
  <c r="CY3" i="46"/>
  <c r="DC3" i="46"/>
  <c r="DG3" i="46"/>
  <c r="BO4" i="46"/>
  <c r="BS4" i="46"/>
  <c r="BW4" i="46"/>
  <c r="CA4" i="46"/>
  <c r="CE4" i="46"/>
  <c r="CI4" i="46"/>
  <c r="CM4" i="46"/>
  <c r="CQ4" i="46"/>
  <c r="CU4" i="46"/>
  <c r="CY4" i="46"/>
  <c r="DC4" i="46"/>
  <c r="DG4" i="46"/>
  <c r="BO5" i="46"/>
  <c r="BS5" i="46"/>
  <c r="BW5" i="46"/>
  <c r="CI5" i="46"/>
  <c r="CM5" i="46"/>
  <c r="CQ5" i="46"/>
  <c r="CU5" i="46"/>
  <c r="CY5" i="46"/>
  <c r="DC5" i="46"/>
  <c r="DG5" i="46"/>
  <c r="BN7" i="46"/>
  <c r="BR7" i="46"/>
  <c r="BV7" i="46"/>
  <c r="BZ7" i="46"/>
  <c r="CD7" i="46"/>
  <c r="CH7" i="46"/>
  <c r="CL7" i="46"/>
  <c r="CP7" i="46"/>
  <c r="CT7" i="46"/>
  <c r="CX7" i="46"/>
  <c r="DB7" i="46"/>
  <c r="DF7" i="46"/>
  <c r="BN8" i="46"/>
  <c r="BR8" i="46"/>
  <c r="BV8" i="46"/>
  <c r="BZ8" i="46"/>
  <c r="CD8" i="46"/>
  <c r="CH8" i="46"/>
  <c r="CL8" i="46"/>
  <c r="CP8" i="46"/>
  <c r="CT8" i="46"/>
  <c r="CX8" i="46"/>
  <c r="DB8" i="46"/>
  <c r="DF8" i="46"/>
  <c r="BN9" i="46"/>
  <c r="BR9" i="46"/>
  <c r="BV9" i="46"/>
  <c r="BZ9" i="46"/>
  <c r="CD9" i="46"/>
  <c r="CH9" i="46"/>
  <c r="CL9" i="46"/>
  <c r="CP9" i="46"/>
  <c r="CT9" i="46"/>
  <c r="CX9" i="46"/>
  <c r="DB9" i="46"/>
  <c r="BV11" i="46"/>
  <c r="BZ11" i="46"/>
  <c r="CD11" i="46"/>
  <c r="CH11" i="46"/>
  <c r="CL11" i="46"/>
  <c r="CP11" i="46"/>
  <c r="CT11" i="46"/>
  <c r="CX11" i="46"/>
  <c r="DB11" i="46"/>
  <c r="DF11" i="46"/>
  <c r="BN12" i="46"/>
  <c r="BR12" i="46"/>
  <c r="BZ12" i="46"/>
  <c r="CD12" i="46"/>
  <c r="CH12" i="46"/>
  <c r="CL12" i="46"/>
  <c r="CP12" i="46"/>
  <c r="CT12" i="46"/>
  <c r="CX12" i="46"/>
  <c r="DB12" i="46"/>
  <c r="DF12" i="46"/>
  <c r="BN13" i="46"/>
  <c r="BR13" i="46"/>
  <c r="BV13" i="46"/>
  <c r="CH13" i="46"/>
  <c r="CL13" i="46"/>
  <c r="CP13" i="46"/>
  <c r="CT13" i="46"/>
  <c r="CX13" i="46"/>
  <c r="DB13" i="46"/>
  <c r="DF13" i="46"/>
  <c r="BQ14" i="46"/>
  <c r="BU14" i="46"/>
  <c r="BY14" i="46"/>
  <c r="CC14" i="46"/>
  <c r="CS14" i="46"/>
  <c r="CW14" i="46"/>
  <c r="DA14" i="46"/>
  <c r="DE14" i="46"/>
  <c r="DI14" i="46"/>
  <c r="BQ15" i="46"/>
  <c r="BU15" i="46"/>
  <c r="BY15" i="46"/>
  <c r="CC15" i="46"/>
  <c r="CG15" i="46"/>
  <c r="CK15" i="46"/>
  <c r="CO15" i="46"/>
  <c r="DC15" i="46"/>
  <c r="BS16" i="46"/>
  <c r="CA16" i="46"/>
  <c r="CI16" i="46"/>
  <c r="CQ16" i="46"/>
  <c r="CY16" i="46"/>
  <c r="DG16" i="46"/>
  <c r="M17" i="46"/>
  <c r="AR17" i="46"/>
  <c r="AZ17" i="46"/>
  <c r="BH17" i="46"/>
  <c r="BS17" i="46"/>
  <c r="CA17" i="46"/>
  <c r="CI17" i="46"/>
  <c r="CQ17" i="46"/>
  <c r="CY17" i="46"/>
  <c r="M19" i="46"/>
  <c r="BO19" i="46"/>
  <c r="BW19" i="46"/>
  <c r="CE19" i="46"/>
  <c r="CM19" i="46"/>
  <c r="CU19" i="46"/>
  <c r="DC19" i="46"/>
  <c r="BS20" i="46"/>
  <c r="CA20" i="46"/>
  <c r="CI20" i="46"/>
  <c r="CQ20" i="46"/>
  <c r="CY20" i="46"/>
  <c r="DG20" i="46"/>
  <c r="M21" i="46"/>
  <c r="BO21" i="46"/>
  <c r="BW21" i="46"/>
  <c r="CE21" i="46"/>
  <c r="CM21" i="46"/>
  <c r="CU21" i="46"/>
  <c r="DC21" i="46"/>
  <c r="CY22" i="46"/>
  <c r="CA22" i="46"/>
  <c r="BO22" i="46"/>
  <c r="DE22" i="46"/>
  <c r="CS22" i="46"/>
  <c r="BU22" i="46"/>
  <c r="DC22" i="46"/>
  <c r="CE22" i="46"/>
  <c r="BS22" i="46"/>
  <c r="DI22" i="46"/>
  <c r="CW22" i="46"/>
  <c r="BY22" i="46"/>
  <c r="BP23" i="46"/>
  <c r="BX23" i="46"/>
  <c r="CF23" i="46"/>
  <c r="CN23" i="46"/>
  <c r="CV23" i="46"/>
  <c r="DD23" i="46"/>
  <c r="BN24" i="46"/>
  <c r="BV24" i="46"/>
  <c r="CD24" i="46"/>
  <c r="CL24" i="46"/>
  <c r="CT24" i="46"/>
  <c r="M25" i="46"/>
  <c r="CZ25" i="46"/>
  <c r="CN25" i="46"/>
  <c r="CB25" i="46"/>
  <c r="CT25" i="46"/>
  <c r="CH25" i="46"/>
  <c r="BV25" i="46"/>
  <c r="AO25" i="46"/>
  <c r="DG25" i="46" s="1"/>
  <c r="AW25" i="46"/>
  <c r="BP25" i="46"/>
  <c r="DE27" i="46"/>
  <c r="CS27" i="46"/>
  <c r="CA27" i="46"/>
  <c r="BU27" i="46"/>
  <c r="DI27" i="46"/>
  <c r="DC27" i="46"/>
  <c r="CK27" i="46"/>
  <c r="CE27" i="46"/>
  <c r="CW27" i="46"/>
  <c r="BY27" i="46"/>
  <c r="CY27" i="46"/>
  <c r="CA33" i="46"/>
  <c r="BO12" i="46"/>
  <c r="BS12" i="46"/>
  <c r="CA12" i="46"/>
  <c r="CE12" i="46"/>
  <c r="CI12" i="46"/>
  <c r="CM12" i="46"/>
  <c r="CQ12" i="46"/>
  <c r="CU12" i="46"/>
  <c r="CY12" i="46"/>
  <c r="DC12" i="46"/>
  <c r="DG12" i="46"/>
  <c r="BO13" i="46"/>
  <c r="BS13" i="46"/>
  <c r="BW13" i="46"/>
  <c r="CI13" i="46"/>
  <c r="CM13" i="46"/>
  <c r="CQ13" i="46"/>
  <c r="CU13" i="46"/>
  <c r="CY13" i="46"/>
  <c r="DC13" i="46"/>
  <c r="DG13" i="46"/>
  <c r="DD15" i="46"/>
  <c r="CX15" i="46"/>
  <c r="DH15" i="46"/>
  <c r="DB15" i="46"/>
  <c r="BN15" i="46"/>
  <c r="BR15" i="46"/>
  <c r="BV15" i="46"/>
  <c r="BZ15" i="46"/>
  <c r="CD15" i="46"/>
  <c r="CH15" i="46"/>
  <c r="CL15" i="46"/>
  <c r="CP15" i="46"/>
  <c r="CZ16" i="46"/>
  <c r="BK16" i="46"/>
  <c r="AT17" i="46"/>
  <c r="BB17" i="46"/>
  <c r="BK20" i="46"/>
  <c r="BU20" i="46"/>
  <c r="AK22" i="46"/>
  <c r="CG22" i="46" s="1"/>
  <c r="AL22" i="46"/>
  <c r="CO22" i="46" s="1"/>
  <c r="BX24" i="46"/>
  <c r="CF24" i="46"/>
  <c r="CV24" i="46"/>
  <c r="DD24" i="46"/>
  <c r="BH25" i="46"/>
  <c r="BD25" i="46"/>
  <c r="AZ25" i="46"/>
  <c r="AV25" i="46"/>
  <c r="AR25" i="46"/>
  <c r="BF25" i="46"/>
  <c r="BB25" i="46"/>
  <c r="AX25" i="46"/>
  <c r="AT25" i="46"/>
  <c r="AP25" i="46"/>
  <c r="AQ25" i="46"/>
  <c r="AY25" i="46"/>
  <c r="BG25" i="46"/>
  <c r="DF29" i="46"/>
  <c r="CT29" i="46"/>
  <c r="CH29" i="46"/>
  <c r="CB29" i="46"/>
  <c r="CZ29" i="46"/>
  <c r="CN29" i="46"/>
  <c r="DF30" i="46"/>
  <c r="CT30" i="46"/>
  <c r="CH30" i="46"/>
  <c r="BV30" i="46"/>
  <c r="CZ30" i="46"/>
  <c r="CN30" i="46"/>
  <c r="BP30" i="46"/>
  <c r="K33" i="46"/>
  <c r="CS35" i="46"/>
  <c r="CG35" i="46"/>
  <c r="BU35" i="46"/>
  <c r="CY35" i="46"/>
  <c r="CM35" i="46"/>
  <c r="CA35" i="46"/>
  <c r="BO35" i="46"/>
  <c r="BU3" i="46"/>
  <c r="BY3" i="46"/>
  <c r="CC3" i="46"/>
  <c r="CG3" i="46"/>
  <c r="CK3" i="46"/>
  <c r="CO3" i="46"/>
  <c r="CS3" i="46"/>
  <c r="CW3" i="46"/>
  <c r="BQ4" i="46"/>
  <c r="BU4" i="46"/>
  <c r="BY4" i="46"/>
  <c r="CC4" i="46"/>
  <c r="CG4" i="46"/>
  <c r="CK4" i="46"/>
  <c r="CO4" i="46"/>
  <c r="CS4" i="46"/>
  <c r="CW4" i="46"/>
  <c r="BQ5" i="46"/>
  <c r="BU5" i="46"/>
  <c r="BY5" i="46"/>
  <c r="CG5" i="46"/>
  <c r="CK5" i="46"/>
  <c r="CO5" i="46"/>
  <c r="CS5" i="46"/>
  <c r="CW5" i="46"/>
  <c r="BP7" i="46"/>
  <c r="BT7" i="46"/>
  <c r="BX7" i="46"/>
  <c r="CB7" i="46"/>
  <c r="CF7" i="46"/>
  <c r="CJ7" i="46"/>
  <c r="CN7" i="46"/>
  <c r="CR7" i="46"/>
  <c r="CV7" i="46"/>
  <c r="BP8" i="46"/>
  <c r="BT8" i="46"/>
  <c r="BX8" i="46"/>
  <c r="CB8" i="46"/>
  <c r="CF8" i="46"/>
  <c r="CJ8" i="46"/>
  <c r="CN8" i="46"/>
  <c r="CR8" i="46"/>
  <c r="CV8" i="46"/>
  <c r="BP9" i="46"/>
  <c r="BT9" i="46"/>
  <c r="BX9" i="46"/>
  <c r="CB9" i="46"/>
  <c r="CF9" i="46"/>
  <c r="CJ9" i="46"/>
  <c r="CN9" i="46"/>
  <c r="CR9" i="46"/>
  <c r="CV9" i="46"/>
  <c r="BT11" i="46"/>
  <c r="BX11" i="46"/>
  <c r="CB11" i="46"/>
  <c r="CF11" i="46"/>
  <c r="CJ11" i="46"/>
  <c r="CN11" i="46"/>
  <c r="CR11" i="46"/>
  <c r="CV11" i="46"/>
  <c r="K12" i="46"/>
  <c r="BP12" i="46"/>
  <c r="CB12" i="46"/>
  <c r="CF12" i="46"/>
  <c r="CJ12" i="46"/>
  <c r="CN12" i="46"/>
  <c r="CR12" i="46"/>
  <c r="CV12" i="46"/>
  <c r="K13" i="46"/>
  <c r="M13" i="46" s="1"/>
  <c r="BP13" i="46"/>
  <c r="BT13" i="46"/>
  <c r="BX13" i="46"/>
  <c r="CF13" i="46"/>
  <c r="CJ13" i="46"/>
  <c r="CN13" i="46"/>
  <c r="CR13" i="46"/>
  <c r="CV13" i="46"/>
  <c r="K14" i="46"/>
  <c r="BO14" i="46"/>
  <c r="BS14" i="46"/>
  <c r="BW14" i="46"/>
  <c r="CA14" i="46"/>
  <c r="CE14" i="46"/>
  <c r="CU14" i="46"/>
  <c r="BO15" i="46"/>
  <c r="BS15" i="46"/>
  <c r="BW15" i="46"/>
  <c r="CA15" i="46"/>
  <c r="CE15" i="46"/>
  <c r="CI15" i="46"/>
  <c r="CZ15" i="46"/>
  <c r="M16" i="46"/>
  <c r="BO16" i="46"/>
  <c r="BW16" i="46"/>
  <c r="CE16" i="46"/>
  <c r="AV17" i="46"/>
  <c r="BO17" i="46"/>
  <c r="BW17" i="46"/>
  <c r="CE17" i="46"/>
  <c r="BS19" i="46"/>
  <c r="CA19" i="46"/>
  <c r="CI19" i="46"/>
  <c r="M20" i="46"/>
  <c r="BO20" i="46"/>
  <c r="BW20" i="46"/>
  <c r="CE20" i="46"/>
  <c r="BS21" i="46"/>
  <c r="CA21" i="46"/>
  <c r="CI21" i="46"/>
  <c r="M22" i="46"/>
  <c r="DG22" i="46"/>
  <c r="CU22" i="46"/>
  <c r="BW22" i="46"/>
  <c r="DA22" i="46"/>
  <c r="CC22" i="46"/>
  <c r="BQ22" i="46"/>
  <c r="M23" i="46"/>
  <c r="BT23" i="46"/>
  <c r="CB23" i="46"/>
  <c r="CJ23" i="46"/>
  <c r="BR24" i="46"/>
  <c r="BZ24" i="46"/>
  <c r="CH24" i="46"/>
  <c r="CP24" i="46"/>
  <c r="DF24" i="46"/>
  <c r="CR25" i="46"/>
  <c r="CF25" i="46"/>
  <c r="BT25" i="46"/>
  <c r="CX25" i="46"/>
  <c r="CL25" i="46"/>
  <c r="BZ25" i="46"/>
  <c r="CV25" i="46"/>
  <c r="CJ25" i="46"/>
  <c r="BX25" i="46"/>
  <c r="DB25" i="46"/>
  <c r="CP25" i="46"/>
  <c r="CD25" i="46"/>
  <c r="BR25" i="46"/>
  <c r="AS25" i="46"/>
  <c r="BA25" i="46"/>
  <c r="BI25" i="46"/>
  <c r="DG27" i="46"/>
  <c r="DA27" i="46"/>
  <c r="BW27" i="46"/>
  <c r="CO27" i="46"/>
  <c r="CG27" i="46"/>
  <c r="CQ27" i="46"/>
  <c r="BQ12" i="46"/>
  <c r="CC12" i="46"/>
  <c r="CG12" i="46"/>
  <c r="CK12" i="46"/>
  <c r="CO12" i="46"/>
  <c r="CS12" i="46"/>
  <c r="CW12" i="46"/>
  <c r="BQ13" i="46"/>
  <c r="BU13" i="46"/>
  <c r="BY13" i="46"/>
  <c r="CG13" i="46"/>
  <c r="CK13" i="46"/>
  <c r="CO13" i="46"/>
  <c r="CS13" i="46"/>
  <c r="CW13" i="46"/>
  <c r="BP15" i="46"/>
  <c r="BT15" i="46"/>
  <c r="BX15" i="46"/>
  <c r="CB15" i="46"/>
  <c r="CF15" i="46"/>
  <c r="CJ15" i="46"/>
  <c r="CN15" i="46"/>
  <c r="BI17" i="46"/>
  <c r="BE17" i="46"/>
  <c r="BA17" i="46"/>
  <c r="AW17" i="46"/>
  <c r="AS17" i="46"/>
  <c r="AO17" i="46"/>
  <c r="DG17" i="46" s="1"/>
  <c r="BG17" i="46"/>
  <c r="BC17" i="46"/>
  <c r="AY17" i="46"/>
  <c r="AU17" i="46"/>
  <c r="AQ17" i="46"/>
  <c r="AP17" i="46"/>
  <c r="AX17" i="46"/>
  <c r="BF17" i="46"/>
  <c r="BK19" i="46"/>
  <c r="BK21" i="46"/>
  <c r="BK23" i="46"/>
  <c r="M24" i="46"/>
  <c r="BT24" i="46"/>
  <c r="CB24" i="46"/>
  <c r="CJ24" i="46"/>
  <c r="AU25" i="46"/>
  <c r="BC25" i="46"/>
  <c r="DF28" i="46"/>
  <c r="CT28" i="46"/>
  <c r="CH28" i="46"/>
  <c r="BP28" i="46"/>
  <c r="BP29" i="46"/>
  <c r="K31" i="46"/>
  <c r="M31" i="46" s="1"/>
  <c r="DE33" i="46"/>
  <c r="CS33" i="46"/>
  <c r="CG33" i="46"/>
  <c r="BU33" i="46"/>
  <c r="DI33" i="46"/>
  <c r="CW33" i="46"/>
  <c r="CK33" i="46"/>
  <c r="BY33" i="46"/>
  <c r="BS33" i="46"/>
  <c r="CQ33" i="46"/>
  <c r="BN16" i="46"/>
  <c r="BR16" i="46"/>
  <c r="BV16" i="46"/>
  <c r="BZ16" i="46"/>
  <c r="CD16" i="46"/>
  <c r="CH16" i="46"/>
  <c r="CL16" i="46"/>
  <c r="CP16" i="46"/>
  <c r="CT16" i="46"/>
  <c r="CX16" i="46"/>
  <c r="DB16" i="46"/>
  <c r="DF16" i="46"/>
  <c r="BN17" i="46"/>
  <c r="BR17" i="46"/>
  <c r="BV17" i="46"/>
  <c r="BZ17" i="46"/>
  <c r="CD17" i="46"/>
  <c r="CH17" i="46"/>
  <c r="CL17" i="46"/>
  <c r="CP17" i="46"/>
  <c r="CT17" i="46"/>
  <c r="CX17" i="46"/>
  <c r="DB17" i="46"/>
  <c r="BN19" i="46"/>
  <c r="BR19" i="46"/>
  <c r="BV19" i="46"/>
  <c r="BZ19" i="46"/>
  <c r="CD19" i="46"/>
  <c r="CH19" i="46"/>
  <c r="CL19" i="46"/>
  <c r="CP19" i="46"/>
  <c r="CT19" i="46"/>
  <c r="CX19" i="46"/>
  <c r="DB19" i="46"/>
  <c r="DF19" i="46"/>
  <c r="BN20" i="46"/>
  <c r="BR20" i="46"/>
  <c r="BV20" i="46"/>
  <c r="BZ20" i="46"/>
  <c r="CD20" i="46"/>
  <c r="CH20" i="46"/>
  <c r="CL20" i="46"/>
  <c r="CP20" i="46"/>
  <c r="CT20" i="46"/>
  <c r="CX20" i="46"/>
  <c r="DB20" i="46"/>
  <c r="DF20" i="46"/>
  <c r="BN21" i="46"/>
  <c r="BR21" i="46"/>
  <c r="BV21" i="46"/>
  <c r="BZ21" i="46"/>
  <c r="CD21" i="46"/>
  <c r="CH21" i="46"/>
  <c r="CL21" i="46"/>
  <c r="CP21" i="46"/>
  <c r="CT21" i="46"/>
  <c r="CX21" i="46"/>
  <c r="DB21" i="46"/>
  <c r="DF21" i="46"/>
  <c r="BQ23" i="46"/>
  <c r="BU23" i="46"/>
  <c r="BY23" i="46"/>
  <c r="CC23" i="46"/>
  <c r="CG23" i="46"/>
  <c r="CK23" i="46"/>
  <c r="CO23" i="46"/>
  <c r="CS23" i="46"/>
  <c r="CW23" i="46"/>
  <c r="DA23" i="46"/>
  <c r="DE23" i="46"/>
  <c r="DI23" i="46"/>
  <c r="BQ24" i="46"/>
  <c r="BU24" i="46"/>
  <c r="BY24" i="46"/>
  <c r="CC24" i="46"/>
  <c r="CG24" i="46"/>
  <c r="CK24" i="46"/>
  <c r="CO24" i="46"/>
  <c r="CS24" i="46"/>
  <c r="CW24" i="46"/>
  <c r="DE24" i="46"/>
  <c r="DI24" i="46"/>
  <c r="BQ25" i="46"/>
  <c r="BY25" i="46"/>
  <c r="CG25" i="46"/>
  <c r="CO25" i="46"/>
  <c r="CW25" i="46"/>
  <c r="DE32" i="46"/>
  <c r="CG32" i="46"/>
  <c r="BU32" i="46"/>
  <c r="DI32" i="46"/>
  <c r="CK32" i="46"/>
  <c r="BY32" i="46"/>
  <c r="CE32" i="46"/>
  <c r="CM32" i="46"/>
  <c r="K34" i="46"/>
  <c r="DE38" i="46"/>
  <c r="CS38" i="46"/>
  <c r="CG38" i="46"/>
  <c r="CM38" i="46"/>
  <c r="BO38" i="46"/>
  <c r="CY38" i="46"/>
  <c r="DI38" i="46"/>
  <c r="CW38" i="46"/>
  <c r="CK38" i="46"/>
  <c r="DC38" i="46"/>
  <c r="CE38" i="46"/>
  <c r="CQ38" i="46"/>
  <c r="DE41" i="46"/>
  <c r="CG41" i="46"/>
  <c r="BU41" i="46"/>
  <c r="CM41" i="46"/>
  <c r="BO41" i="46"/>
  <c r="CA41" i="46"/>
  <c r="DI41" i="46"/>
  <c r="CK41" i="46"/>
  <c r="BY41" i="46"/>
  <c r="DC41" i="46"/>
  <c r="CE41" i="46"/>
  <c r="DE42" i="46"/>
  <c r="CS42" i="46"/>
  <c r="CG42" i="46"/>
  <c r="BU42" i="46"/>
  <c r="CM42" i="46"/>
  <c r="BO42" i="46"/>
  <c r="CA42" i="46"/>
  <c r="DI42" i="46"/>
  <c r="CW42" i="46"/>
  <c r="CK42" i="46"/>
  <c r="BY42" i="46"/>
  <c r="CE42" i="46"/>
  <c r="K35" i="46"/>
  <c r="M35" i="46" s="1"/>
  <c r="DE37" i="46"/>
  <c r="CS37" i="46"/>
  <c r="CG37" i="46"/>
  <c r="BU37" i="46"/>
  <c r="CY37" i="46"/>
  <c r="CM37" i="46"/>
  <c r="CA37" i="46"/>
  <c r="DI37" i="46"/>
  <c r="CW37" i="46"/>
  <c r="CK37" i="46"/>
  <c r="BY37" i="46"/>
  <c r="CQ37" i="46"/>
  <c r="K40" i="46"/>
  <c r="M40" i="46" s="1"/>
  <c r="BP16" i="46"/>
  <c r="BT16" i="46"/>
  <c r="BX16" i="46"/>
  <c r="CB16" i="46"/>
  <c r="CF16" i="46"/>
  <c r="CJ16" i="46"/>
  <c r="CN16" i="46"/>
  <c r="CR16" i="46"/>
  <c r="CV16" i="46"/>
  <c r="BP17" i="46"/>
  <c r="BT17" i="46"/>
  <c r="BX17" i="46"/>
  <c r="CB17" i="46"/>
  <c r="CF17" i="46"/>
  <c r="CJ17" i="46"/>
  <c r="CN17" i="46"/>
  <c r="CR17" i="46"/>
  <c r="CV17" i="46"/>
  <c r="BP19" i="46"/>
  <c r="BT19" i="46"/>
  <c r="BX19" i="46"/>
  <c r="CB19" i="46"/>
  <c r="CF19" i="46"/>
  <c r="CJ19" i="46"/>
  <c r="CN19" i="46"/>
  <c r="CR19" i="46"/>
  <c r="CV19" i="46"/>
  <c r="BP20" i="46"/>
  <c r="BT20" i="46"/>
  <c r="BX20" i="46"/>
  <c r="CB20" i="46"/>
  <c r="CF20" i="46"/>
  <c r="CJ20" i="46"/>
  <c r="CN20" i="46"/>
  <c r="CR20" i="46"/>
  <c r="CV20" i="46"/>
  <c r="BP21" i="46"/>
  <c r="BT21" i="46"/>
  <c r="BX21" i="46"/>
  <c r="CB21" i="46"/>
  <c r="CF21" i="46"/>
  <c r="CJ21" i="46"/>
  <c r="CN21" i="46"/>
  <c r="CR21" i="46"/>
  <c r="CV21" i="46"/>
  <c r="BO23" i="46"/>
  <c r="BS23" i="46"/>
  <c r="BW23" i="46"/>
  <c r="CA23" i="46"/>
  <c r="CE23" i="46"/>
  <c r="CI23" i="46"/>
  <c r="CM23" i="46"/>
  <c r="CQ23" i="46"/>
  <c r="CU23" i="46"/>
  <c r="BO24" i="46"/>
  <c r="BS24" i="46"/>
  <c r="BW24" i="46"/>
  <c r="CA24" i="46"/>
  <c r="CE24" i="46"/>
  <c r="CI24" i="46"/>
  <c r="CM24" i="46"/>
  <c r="CQ24" i="46"/>
  <c r="CU24" i="46"/>
  <c r="BO25" i="46"/>
  <c r="BU25" i="46"/>
  <c r="CC25" i="46"/>
  <c r="CK25" i="46"/>
  <c r="K28" i="46"/>
  <c r="K29" i="46"/>
  <c r="M29" i="46" s="1"/>
  <c r="K30" i="46"/>
  <c r="CZ31" i="46"/>
  <c r="CB31" i="46"/>
  <c r="BP31" i="46"/>
  <c r="DF31" i="46"/>
  <c r="CT31" i="46"/>
  <c r="BV31" i="46"/>
  <c r="K32" i="46"/>
  <c r="M32" i="46" s="1"/>
  <c r="BO32" i="46"/>
  <c r="CA32" i="46"/>
  <c r="CS34" i="46"/>
  <c r="CG34" i="46"/>
  <c r="BU34" i="46"/>
  <c r="CW34" i="46"/>
  <c r="CK34" i="46"/>
  <c r="BY34" i="46"/>
  <c r="BS34" i="46"/>
  <c r="CE34" i="46"/>
  <c r="CQ34" i="46"/>
  <c r="DC34" i="46"/>
  <c r="BS35" i="46"/>
  <c r="CE35" i="46"/>
  <c r="CE37" i="46"/>
  <c r="K38" i="46"/>
  <c r="M38" i="46" s="1"/>
  <c r="CA38" i="46"/>
  <c r="K41" i="46"/>
  <c r="BS41" i="46"/>
  <c r="CY41" i="46"/>
  <c r="K42" i="46"/>
  <c r="BS42" i="46"/>
  <c r="CW35" i="46"/>
  <c r="CK35" i="46"/>
  <c r="BY35" i="46"/>
  <c r="DC35" i="46"/>
  <c r="K37" i="46"/>
  <c r="AJ39" i="46"/>
  <c r="CE39" i="46" s="1"/>
  <c r="DE40" i="46"/>
  <c r="CS40" i="46"/>
  <c r="BU40" i="46"/>
  <c r="CY40" i="46"/>
  <c r="BO40" i="46"/>
  <c r="CA40" i="46"/>
  <c r="DI40" i="46"/>
  <c r="CW40" i="46"/>
  <c r="BY40" i="46"/>
  <c r="DC40" i="46"/>
  <c r="BS40" i="46"/>
  <c r="CE40" i="46"/>
  <c r="BZ27" i="46"/>
  <c r="CD27" i="46"/>
  <c r="CL27" i="46"/>
  <c r="CP27" i="46"/>
  <c r="CT27" i="46"/>
  <c r="CX27" i="46"/>
  <c r="DE28" i="46"/>
  <c r="CS28" i="46"/>
  <c r="CG28" i="46"/>
  <c r="DI28" i="46"/>
  <c r="CW28" i="46"/>
  <c r="CK28" i="46"/>
  <c r="BS28" i="46"/>
  <c r="CA28" i="46"/>
  <c r="CQ28" i="46"/>
  <c r="CY28" i="46"/>
  <c r="DE30" i="46"/>
  <c r="CS30" i="46"/>
  <c r="CG30" i="46"/>
  <c r="BU30" i="46"/>
  <c r="DI30" i="46"/>
  <c r="CW30" i="46"/>
  <c r="CK30" i="46"/>
  <c r="BY30" i="46"/>
  <c r="BS30" i="46"/>
  <c r="CQ30" i="46"/>
  <c r="CY30" i="46"/>
  <c r="BZ34" i="46"/>
  <c r="CR35" i="46"/>
  <c r="CF35" i="46"/>
  <c r="BT35" i="46"/>
  <c r="DB35" i="46"/>
  <c r="CV35" i="46"/>
  <c r="CJ35" i="46"/>
  <c r="BX35" i="46"/>
  <c r="BN35" i="46"/>
  <c r="CD35" i="46"/>
  <c r="CL35" i="46"/>
  <c r="CX37" i="46"/>
  <c r="CR37" i="46"/>
  <c r="DB37" i="46"/>
  <c r="DH37" i="46"/>
  <c r="CD37" i="46"/>
  <c r="BX37" i="46"/>
  <c r="BT37" i="46"/>
  <c r="CJ37" i="46"/>
  <c r="DF38" i="46"/>
  <c r="CT38" i="46"/>
  <c r="CH38" i="46"/>
  <c r="CN38" i="46"/>
  <c r="BP38" i="46"/>
  <c r="CB38" i="46"/>
  <c r="CZ40" i="46"/>
  <c r="CB40" i="46"/>
  <c r="BP40" i="46"/>
  <c r="DF40" i="46"/>
  <c r="BV40" i="46"/>
  <c r="CS43" i="46"/>
  <c r="BU43" i="46"/>
  <c r="CY43" i="46"/>
  <c r="CA43" i="46"/>
  <c r="BO43" i="46"/>
  <c r="CK43" i="46"/>
  <c r="CQ43" i="46"/>
  <c r="BS43" i="46"/>
  <c r="CE43" i="46"/>
  <c r="BY43" i="46"/>
  <c r="BT27" i="46"/>
  <c r="BX27" i="46"/>
  <c r="CB27" i="46"/>
  <c r="CF27" i="46"/>
  <c r="CJ27" i="46"/>
  <c r="CN27" i="46"/>
  <c r="CV27" i="46"/>
  <c r="CZ27" i="46"/>
  <c r="BO28" i="46"/>
  <c r="CE28" i="46"/>
  <c r="CM28" i="46"/>
  <c r="DC28" i="46"/>
  <c r="DE29" i="46"/>
  <c r="CS29" i="46"/>
  <c r="CG29" i="46"/>
  <c r="DI29" i="46"/>
  <c r="CW29" i="46"/>
  <c r="CK29" i="46"/>
  <c r="BS29" i="46"/>
  <c r="CA29" i="46"/>
  <c r="CQ29" i="46"/>
  <c r="CY29" i="46"/>
  <c r="BO30" i="46"/>
  <c r="CM30" i="46"/>
  <c r="DC30" i="46"/>
  <c r="DE31" i="46"/>
  <c r="CS31" i="46"/>
  <c r="BU31" i="46"/>
  <c r="DI31" i="46"/>
  <c r="CW31" i="46"/>
  <c r="BY31" i="46"/>
  <c r="DD32" i="46"/>
  <c r="CF32" i="46"/>
  <c r="BT32" i="46"/>
  <c r="DH32" i="46"/>
  <c r="CJ32" i="46"/>
  <c r="BX32" i="46"/>
  <c r="BR32" i="46"/>
  <c r="BZ32" i="46"/>
  <c r="CP32" i="46"/>
  <c r="CX32" i="46"/>
  <c r="DD33" i="46"/>
  <c r="CR33" i="46"/>
  <c r="CF33" i="46"/>
  <c r="BT33" i="46"/>
  <c r="DH33" i="46"/>
  <c r="CV33" i="46"/>
  <c r="CJ33" i="46"/>
  <c r="BX33" i="46"/>
  <c r="BR33" i="46"/>
  <c r="BZ33" i="46"/>
  <c r="CP33" i="46"/>
  <c r="CR34" i="46"/>
  <c r="CF34" i="46"/>
  <c r="BT34" i="46"/>
  <c r="CV34" i="46"/>
  <c r="CJ34" i="46"/>
  <c r="BX34" i="46"/>
  <c r="BN34" i="46"/>
  <c r="CD34" i="46"/>
  <c r="CL34" i="46"/>
  <c r="DB34" i="46"/>
  <c r="BR35" i="46"/>
  <c r="BZ35" i="46"/>
  <c r="CP35" i="46"/>
  <c r="CX35" i="46"/>
  <c r="CF37" i="46"/>
  <c r="DD37" i="46"/>
  <c r="K43" i="46"/>
  <c r="CG43" i="46"/>
  <c r="CW43" i="46"/>
  <c r="BQ28" i="46"/>
  <c r="CC28" i="46"/>
  <c r="CO28" i="46"/>
  <c r="BQ29" i="46"/>
  <c r="CC29" i="46"/>
  <c r="CO29" i="46"/>
  <c r="BQ30" i="46"/>
  <c r="CO30" i="46"/>
  <c r="BT31" i="46"/>
  <c r="BX31" i="46"/>
  <c r="CR31" i="46"/>
  <c r="CV31" i="46"/>
  <c r="BP32" i="46"/>
  <c r="CB32" i="46"/>
  <c r="CN32" i="46"/>
  <c r="BP33" i="46"/>
  <c r="CB33" i="46"/>
  <c r="CN33" i="46"/>
  <c r="BP34" i="46"/>
  <c r="CB34" i="46"/>
  <c r="CN34" i="46"/>
  <c r="BP35" i="46"/>
  <c r="CB35" i="46"/>
  <c r="CN35" i="46"/>
  <c r="CZ35" i="46"/>
  <c r="CB37" i="46"/>
  <c r="CH37" i="46"/>
  <c r="DE39" i="46"/>
  <c r="CS39" i="46"/>
  <c r="CG39" i="46"/>
  <c r="BU39" i="46"/>
  <c r="DI39" i="46"/>
  <c r="CW39" i="46"/>
  <c r="CK39" i="46"/>
  <c r="BY39" i="46"/>
  <c r="BS39" i="46"/>
  <c r="CQ39" i="46"/>
  <c r="CY39" i="46"/>
  <c r="CV48" i="46"/>
  <c r="CR48" i="46"/>
  <c r="CT48" i="46"/>
  <c r="CW48" i="46"/>
  <c r="CS48" i="46"/>
  <c r="BN28" i="46"/>
  <c r="BR28" i="46"/>
  <c r="BZ28" i="46"/>
  <c r="CD28" i="46"/>
  <c r="CL28" i="46"/>
  <c r="CP28" i="46"/>
  <c r="BN29" i="46"/>
  <c r="BR29" i="46"/>
  <c r="BZ29" i="46"/>
  <c r="CD29" i="46"/>
  <c r="CL29" i="46"/>
  <c r="CP29" i="46"/>
  <c r="BN30" i="46"/>
  <c r="BR30" i="46"/>
  <c r="CL30" i="46"/>
  <c r="CP30" i="46"/>
  <c r="BQ31" i="46"/>
  <c r="CC31" i="46"/>
  <c r="BQ32" i="46"/>
  <c r="CC32" i="46"/>
  <c r="CO32" i="46"/>
  <c r="BQ33" i="46"/>
  <c r="CC33" i="46"/>
  <c r="CO33" i="46"/>
  <c r="BQ34" i="46"/>
  <c r="CC34" i="46"/>
  <c r="CO34" i="46"/>
  <c r="BQ35" i="46"/>
  <c r="CC35" i="46"/>
  <c r="CO35" i="46"/>
  <c r="M39" i="46"/>
  <c r="DF39" i="46"/>
  <c r="CT39" i="46"/>
  <c r="CH39" i="46"/>
  <c r="BV39" i="46"/>
  <c r="CZ39" i="46"/>
  <c r="DD41" i="46"/>
  <c r="CF41" i="46"/>
  <c r="BT41" i="46"/>
  <c r="DH41" i="46"/>
  <c r="CJ41" i="46"/>
  <c r="BX41" i="46"/>
  <c r="BR41" i="46"/>
  <c r="BZ41" i="46"/>
  <c r="CP41" i="46"/>
  <c r="CX41" i="46"/>
  <c r="DD42" i="46"/>
  <c r="CR42" i="46"/>
  <c r="CF42" i="46"/>
  <c r="BT42" i="46"/>
  <c r="DH42" i="46"/>
  <c r="CV42" i="46"/>
  <c r="CJ42" i="46"/>
  <c r="BX42" i="46"/>
  <c r="BR42" i="46"/>
  <c r="BZ42" i="46"/>
  <c r="CP42" i="46"/>
  <c r="CX43" i="46"/>
  <c r="CL43" i="46"/>
  <c r="BZ43" i="46"/>
  <c r="BN43" i="46"/>
  <c r="CR43" i="46"/>
  <c r="CF43" i="46"/>
  <c r="BT43" i="46"/>
  <c r="CU48" i="46"/>
  <c r="CC37" i="46"/>
  <c r="CO37" i="46"/>
  <c r="BQ38" i="46"/>
  <c r="CC38" i="46"/>
  <c r="CO38" i="46"/>
  <c r="BQ39" i="46"/>
  <c r="CO39" i="46"/>
  <c r="BT40" i="46"/>
  <c r="BX40" i="46"/>
  <c r="CR40" i="46"/>
  <c r="CV40" i="46"/>
  <c r="BP41" i="46"/>
  <c r="CB41" i="46"/>
  <c r="CN41" i="46"/>
  <c r="BP42" i="46"/>
  <c r="CB42" i="46"/>
  <c r="CN42" i="46"/>
  <c r="CT43" i="46"/>
  <c r="CH43" i="46"/>
  <c r="BV43" i="46"/>
  <c r="CZ43" i="46"/>
  <c r="CN43" i="46"/>
  <c r="CB43" i="46"/>
  <c r="BP43" i="46"/>
  <c r="CI43" i="46"/>
  <c r="BN38" i="46"/>
  <c r="BR38" i="46"/>
  <c r="BZ38" i="46"/>
  <c r="CD38" i="46"/>
  <c r="CL38" i="46"/>
  <c r="CP38" i="46"/>
  <c r="BN39" i="46"/>
  <c r="BR39" i="46"/>
  <c r="CL39" i="46"/>
  <c r="CP39" i="46"/>
  <c r="BQ41" i="46"/>
  <c r="CC41" i="46"/>
  <c r="CO41" i="46"/>
  <c r="BQ42" i="46"/>
  <c r="CC42" i="46"/>
  <c r="CO42" i="46"/>
  <c r="CC43" i="46"/>
  <c r="AN48" i="46"/>
  <c r="M48" i="46"/>
  <c r="BX43" i="46"/>
  <c r="CJ43" i="46"/>
  <c r="CV43" i="46"/>
  <c r="BR43" i="46"/>
  <c r="CD43" i="46"/>
  <c r="CP43" i="46"/>
  <c r="AN9" i="45"/>
  <c r="AM9" i="45"/>
  <c r="M9" i="45"/>
  <c r="CK10" i="45"/>
  <c r="CG10" i="45"/>
  <c r="CI10" i="45"/>
  <c r="CF10" i="45"/>
  <c r="CJ10" i="45"/>
  <c r="CH10" i="45"/>
  <c r="AH2" i="45"/>
  <c r="BQ2" i="45" s="1"/>
  <c r="AI2" i="45"/>
  <c r="BU2" i="45" s="1"/>
  <c r="K8" i="45"/>
  <c r="M8" i="45" s="1"/>
  <c r="AJ3" i="45"/>
  <c r="CC3" i="45" s="1"/>
  <c r="CO4" i="45"/>
  <c r="CQ4" i="45"/>
  <c r="CM4" i="45"/>
  <c r="M2" i="45"/>
  <c r="M3" i="45"/>
  <c r="BQ3" i="45"/>
  <c r="BY3" i="45"/>
  <c r="CG3" i="45"/>
  <c r="CO3" i="45"/>
  <c r="CW3" i="45"/>
  <c r="DA3" i="45"/>
  <c r="DI3" i="45"/>
  <c r="CC2" i="45"/>
  <c r="CG2" i="45"/>
  <c r="CK2" i="45"/>
  <c r="CO2" i="45"/>
  <c r="CS2" i="45"/>
  <c r="CW2" i="45"/>
  <c r="DA2" i="45"/>
  <c r="DE2" i="45"/>
  <c r="DI2" i="45"/>
  <c r="BN3" i="45"/>
  <c r="BR3" i="45"/>
  <c r="BV3" i="45"/>
  <c r="CH3" i="45"/>
  <c r="CL3" i="45"/>
  <c r="CP3" i="45"/>
  <c r="CT3" i="45"/>
  <c r="CX3" i="45"/>
  <c r="DB3" i="45"/>
  <c r="DF3" i="45"/>
  <c r="BN4" i="45"/>
  <c r="BR4" i="45"/>
  <c r="BV4" i="45"/>
  <c r="BZ4" i="45"/>
  <c r="CD4" i="45"/>
  <c r="CL4" i="45"/>
  <c r="CP4" i="45"/>
  <c r="CT4" i="45"/>
  <c r="CX4" i="45"/>
  <c r="DB4" i="45"/>
  <c r="DF4" i="45"/>
  <c r="BN5" i="45"/>
  <c r="BR5" i="45"/>
  <c r="BV5" i="45"/>
  <c r="BZ5" i="45"/>
  <c r="CD5" i="45"/>
  <c r="CH5" i="45"/>
  <c r="CL5" i="45"/>
  <c r="CP5" i="45"/>
  <c r="CT5" i="45"/>
  <c r="CX5" i="45"/>
  <c r="DB5" i="45"/>
  <c r="K7" i="45"/>
  <c r="M7" i="45" s="1"/>
  <c r="BO7" i="45"/>
  <c r="BS7" i="45"/>
  <c r="BW7" i="45"/>
  <c r="CA7" i="45"/>
  <c r="CE7" i="45"/>
  <c r="CI7" i="45"/>
  <c r="CM7" i="45"/>
  <c r="CQ7" i="45"/>
  <c r="DG7" i="45"/>
  <c r="DF11" i="45"/>
  <c r="CT11" i="45"/>
  <c r="CH11" i="45"/>
  <c r="BV11" i="45"/>
  <c r="CZ11" i="45"/>
  <c r="CN11" i="45"/>
  <c r="CB11" i="45"/>
  <c r="BP11" i="45"/>
  <c r="DC12" i="45"/>
  <c r="BO3" i="45"/>
  <c r="BW3" i="45"/>
  <c r="CI3" i="45"/>
  <c r="CQ3" i="45"/>
  <c r="DC3" i="45"/>
  <c r="BO5" i="45"/>
  <c r="BS5" i="45"/>
  <c r="BW5" i="45"/>
  <c r="CA5" i="45"/>
  <c r="CE5" i="45"/>
  <c r="CI5" i="45"/>
  <c r="CM5" i="45"/>
  <c r="CQ5" i="45"/>
  <c r="CU5" i="45"/>
  <c r="CY5" i="45"/>
  <c r="DC5" i="45"/>
  <c r="AJ10" i="45"/>
  <c r="AL10" i="45"/>
  <c r="AH10" i="45"/>
  <c r="AO10" i="45"/>
  <c r="CZ12" i="45"/>
  <c r="BS3" i="45"/>
  <c r="CA3" i="45"/>
  <c r="CM3" i="45"/>
  <c r="CU3" i="45"/>
  <c r="CY3" i="45"/>
  <c r="DG3" i="45"/>
  <c r="AK4" i="45"/>
  <c r="BK4" i="45" s="1"/>
  <c r="CA2" i="45"/>
  <c r="CE2" i="45"/>
  <c r="CI2" i="45"/>
  <c r="CM2" i="45"/>
  <c r="CQ2" i="45"/>
  <c r="CU2" i="45"/>
  <c r="BP3" i="45"/>
  <c r="BT3" i="45"/>
  <c r="BX3" i="45"/>
  <c r="CB3" i="45"/>
  <c r="CF3" i="45"/>
  <c r="CJ3" i="45"/>
  <c r="CN3" i="45"/>
  <c r="CR3" i="45"/>
  <c r="CV3" i="45"/>
  <c r="BP4" i="45"/>
  <c r="BT4" i="45"/>
  <c r="BX4" i="45"/>
  <c r="CB4" i="45"/>
  <c r="CN4" i="45"/>
  <c r="CR4" i="45"/>
  <c r="CV4" i="45"/>
  <c r="BP5" i="45"/>
  <c r="BT5" i="45"/>
  <c r="BX5" i="45"/>
  <c r="CB5" i="45"/>
  <c r="CF5" i="45"/>
  <c r="CJ5" i="45"/>
  <c r="CN5" i="45"/>
  <c r="CR5" i="45"/>
  <c r="CV5" i="45"/>
  <c r="K6" i="45"/>
  <c r="M6" i="45" s="1"/>
  <c r="BQ7" i="45"/>
  <c r="BU7" i="45"/>
  <c r="BY7" i="45"/>
  <c r="CC7" i="45"/>
  <c r="CG7" i="45"/>
  <c r="CK7" i="45"/>
  <c r="CO7" i="45"/>
  <c r="M10" i="45"/>
  <c r="CX11" i="45"/>
  <c r="CL11" i="45"/>
  <c r="BZ11" i="45"/>
  <c r="BN11" i="45"/>
  <c r="DD11" i="45"/>
  <c r="CR11" i="45"/>
  <c r="CF11" i="45"/>
  <c r="BT11" i="45"/>
  <c r="DB11" i="45"/>
  <c r="CP11" i="45"/>
  <c r="CD11" i="45"/>
  <c r="BR11" i="45"/>
  <c r="DH11" i="45"/>
  <c r="CV11" i="45"/>
  <c r="CJ11" i="45"/>
  <c r="BX11" i="45"/>
  <c r="BI12" i="45"/>
  <c r="BE12" i="45"/>
  <c r="BA12" i="45"/>
  <c r="AW12" i="45"/>
  <c r="AS12" i="45"/>
  <c r="AO12" i="45"/>
  <c r="DH12" i="45" s="1"/>
  <c r="AK12" i="45"/>
  <c r="CJ12" i="45" s="1"/>
  <c r="BG12" i="45"/>
  <c r="BC12" i="45"/>
  <c r="AY12" i="45"/>
  <c r="AU12" i="45"/>
  <c r="AQ12" i="45"/>
  <c r="AM12" i="45"/>
  <c r="CR12" i="45" s="1"/>
  <c r="AI12" i="45"/>
  <c r="BX12" i="45" s="1"/>
  <c r="AJ12" i="45"/>
  <c r="BZ12" i="45" s="1"/>
  <c r="AR12" i="45"/>
  <c r="AZ12" i="45"/>
  <c r="BH12" i="45"/>
  <c r="K13" i="45"/>
  <c r="M13" i="45" s="1"/>
  <c r="BU3" i="45"/>
  <c r="CS3" i="45"/>
  <c r="BQ5" i="45"/>
  <c r="BU5" i="45"/>
  <c r="BY5" i="45"/>
  <c r="CC5" i="45"/>
  <c r="CG5" i="45"/>
  <c r="CK5" i="45"/>
  <c r="CO5" i="45"/>
  <c r="CS5" i="45"/>
  <c r="CW5" i="45"/>
  <c r="AI10" i="45"/>
  <c r="CX12" i="45"/>
  <c r="DB12" i="45"/>
  <c r="BR12" i="45"/>
  <c r="CZ2" i="44"/>
  <c r="DC2" i="44"/>
  <c r="CY2" i="44"/>
  <c r="DB2" i="44"/>
  <c r="CX2" i="44"/>
  <c r="DA2" i="44"/>
  <c r="AH2" i="44"/>
  <c r="AL2" i="44"/>
  <c r="CG2" i="44"/>
  <c r="AR6" i="44"/>
  <c r="AR8" i="44" s="1"/>
  <c r="Q25" i="40" s="1"/>
  <c r="AV6" i="44"/>
  <c r="AV8" i="44" s="1"/>
  <c r="S25" i="40" s="1"/>
  <c r="AZ8" i="44"/>
  <c r="U25" i="40" s="1"/>
  <c r="AZ6" i="44"/>
  <c r="BD6" i="44"/>
  <c r="BD8" i="44" s="1"/>
  <c r="X25" i="40" s="1"/>
  <c r="BH6" i="44"/>
  <c r="BH8" i="44" s="1"/>
  <c r="AI2" i="44"/>
  <c r="AM2" i="44"/>
  <c r="DH3" i="44"/>
  <c r="DD3" i="44"/>
  <c r="DG3" i="44"/>
  <c r="DF3" i="44"/>
  <c r="BA8" i="44"/>
  <c r="V25" i="40" s="1"/>
  <c r="CJ2" i="44"/>
  <c r="CF2" i="44"/>
  <c r="CH2" i="44"/>
  <c r="AJ2" i="44"/>
  <c r="CK2" i="44"/>
  <c r="BP3" i="44"/>
  <c r="BS3" i="44"/>
  <c r="BO3" i="44"/>
  <c r="BR3" i="44"/>
  <c r="BN3" i="44"/>
  <c r="AI3" i="44"/>
  <c r="AM3" i="44"/>
  <c r="AJ3" i="44"/>
  <c r="AN3" i="44"/>
  <c r="AS6" i="44"/>
  <c r="AS8" i="44" s="1"/>
  <c r="AW6" i="44"/>
  <c r="AW8" i="44" s="1"/>
  <c r="BA6" i="44"/>
  <c r="BE6" i="44"/>
  <c r="BE8" i="44" s="1"/>
  <c r="Y25" i="40" s="1"/>
  <c r="BI6" i="44"/>
  <c r="BI8" i="44" s="1"/>
  <c r="AB25" i="40" s="1"/>
  <c r="AK3" i="44"/>
  <c r="G9" i="43"/>
  <c r="D18" i="40" s="1"/>
  <c r="J4" i="43"/>
  <c r="J9" i="43" s="1"/>
  <c r="CX6" i="43"/>
  <c r="CL6" i="43"/>
  <c r="BZ6" i="43"/>
  <c r="BN6" i="43"/>
  <c r="BX6" i="43"/>
  <c r="CV6" i="43"/>
  <c r="DD6" i="43"/>
  <c r="DI6" i="43"/>
  <c r="CW6" i="43"/>
  <c r="CK6" i="43"/>
  <c r="BY6" i="43"/>
  <c r="CQ6" i="43"/>
  <c r="CH7" i="43"/>
  <c r="CX8" i="43"/>
  <c r="CL8" i="43"/>
  <c r="BZ8" i="43"/>
  <c r="BN8" i="43"/>
  <c r="CR8" i="43"/>
  <c r="BT8" i="43"/>
  <c r="BT6" i="43"/>
  <c r="CJ6" i="43"/>
  <c r="CR6" i="43"/>
  <c r="CF8" i="43"/>
  <c r="DD8" i="43"/>
  <c r="DB6" i="43"/>
  <c r="CP6" i="43"/>
  <c r="CD6" i="43"/>
  <c r="BR6" i="43"/>
  <c r="CT7" i="43"/>
  <c r="DE6" i="43"/>
  <c r="CS6" i="43"/>
  <c r="CG6" i="43"/>
  <c r="BU6" i="43"/>
  <c r="BS6" i="43"/>
  <c r="CY6" i="43"/>
  <c r="DG7" i="43"/>
  <c r="CU7" i="43"/>
  <c r="DA7" i="43"/>
  <c r="CI7" i="43"/>
  <c r="BW7" i="43"/>
  <c r="DB8" i="43"/>
  <c r="CP8" i="43"/>
  <c r="CD8" i="43"/>
  <c r="BR8" i="43"/>
  <c r="DH8" i="43"/>
  <c r="CJ8" i="43"/>
  <c r="BO6" i="43"/>
  <c r="CE6" i="43"/>
  <c r="CM6" i="43"/>
  <c r="DC6" i="43"/>
  <c r="BQ7" i="43"/>
  <c r="CO7" i="43"/>
  <c r="BX8" i="43"/>
  <c r="CV8" i="43"/>
  <c r="CZ7" i="43"/>
  <c r="CN7" i="43"/>
  <c r="CB7" i="43"/>
  <c r="BP7" i="43"/>
  <c r="DF7" i="43"/>
  <c r="BJ11" i="43"/>
  <c r="BJ13" i="43" s="1"/>
  <c r="AF20" i="40" s="1"/>
  <c r="AC20" i="40" s="1"/>
  <c r="BQ6" i="43"/>
  <c r="CC6" i="43"/>
  <c r="CO6" i="43"/>
  <c r="DD7" i="43"/>
  <c r="CR7" i="43"/>
  <c r="DH7" i="43"/>
  <c r="CV7" i="43"/>
  <c r="CJ7" i="43"/>
  <c r="CP7" i="43"/>
  <c r="CX7" i="43"/>
  <c r="DE8" i="43"/>
  <c r="CS8" i="43"/>
  <c r="CG8" i="43"/>
  <c r="BU8" i="43"/>
  <c r="DI8" i="43"/>
  <c r="CW8" i="43"/>
  <c r="CK8" i="43"/>
  <c r="BY8" i="43"/>
  <c r="BS8" i="43"/>
  <c r="CA8" i="43"/>
  <c r="CQ8" i="43"/>
  <c r="CY8" i="43"/>
  <c r="BV6" i="43"/>
  <c r="CH6" i="43"/>
  <c r="CT6" i="43"/>
  <c r="CY7" i="43"/>
  <c r="CM7" i="43"/>
  <c r="DC7" i="43"/>
  <c r="CQ7" i="43"/>
  <c r="BT7" i="43"/>
  <c r="BX7" i="43"/>
  <c r="CF7" i="43"/>
  <c r="CK7" i="43"/>
  <c r="CS7" i="43"/>
  <c r="DI7" i="43"/>
  <c r="BQ8" i="43"/>
  <c r="CC8" i="43"/>
  <c r="CO8" i="43"/>
  <c r="BV8" i="43"/>
  <c r="CH8" i="43"/>
  <c r="CT8" i="43"/>
  <c r="AM6" i="42"/>
  <c r="CW6" i="42" s="1"/>
  <c r="AT36" i="42"/>
  <c r="K4" i="42"/>
  <c r="K5" i="42"/>
  <c r="AN36" i="42"/>
  <c r="CZ7" i="42"/>
  <c r="BZ3" i="42"/>
  <c r="CL3" i="42"/>
  <c r="CP3" i="42"/>
  <c r="CX3" i="42"/>
  <c r="BR4" i="42"/>
  <c r="CH4" i="42"/>
  <c r="CP4" i="42"/>
  <c r="CX4" i="42"/>
  <c r="M6" i="42"/>
  <c r="BS6" i="42"/>
  <c r="CY6" i="42"/>
  <c r="DA7" i="42"/>
  <c r="BC36" i="42"/>
  <c r="J3" i="42"/>
  <c r="BW3" i="42"/>
  <c r="CA3" i="42"/>
  <c r="CE3" i="42"/>
  <c r="CI3" i="42"/>
  <c r="CM3" i="42"/>
  <c r="CQ3" i="42"/>
  <c r="CU3" i="42"/>
  <c r="CY3" i="42"/>
  <c r="DC3" i="42"/>
  <c r="DG3" i="42"/>
  <c r="BO4" i="42"/>
  <c r="BS4" i="42"/>
  <c r="BW4" i="42"/>
  <c r="CI4" i="42"/>
  <c r="CM4" i="42"/>
  <c r="CQ4" i="42"/>
  <c r="CU4" i="42"/>
  <c r="CY4" i="42"/>
  <c r="DC4" i="42"/>
  <c r="DG4" i="42"/>
  <c r="BN5" i="42"/>
  <c r="BR5" i="42"/>
  <c r="BV5" i="42"/>
  <c r="BZ5" i="42"/>
  <c r="CD5" i="42"/>
  <c r="CT5" i="42"/>
  <c r="CX5" i="42"/>
  <c r="DB5" i="42"/>
  <c r="DF5" i="42"/>
  <c r="BT6" i="42"/>
  <c r="BZ6" i="42"/>
  <c r="CJ6" i="42"/>
  <c r="CZ6" i="42"/>
  <c r="DF6" i="42"/>
  <c r="BP7" i="42"/>
  <c r="CD7" i="42"/>
  <c r="CJ7" i="42"/>
  <c r="CR7" i="42"/>
  <c r="CX7" i="42"/>
  <c r="DF7" i="42"/>
  <c r="AI8" i="42"/>
  <c r="M10" i="42"/>
  <c r="AW36" i="42"/>
  <c r="AW34" i="42"/>
  <c r="M14" i="42"/>
  <c r="CN21" i="42"/>
  <c r="CB21" i="42"/>
  <c r="BP21" i="42"/>
  <c r="DF21" i="42"/>
  <c r="CH21" i="42"/>
  <c r="BV21" i="42"/>
  <c r="CR3" i="42"/>
  <c r="CZ3" i="42"/>
  <c r="DH3" i="42"/>
  <c r="BP4" i="42"/>
  <c r="CJ4" i="42"/>
  <c r="CR4" i="42"/>
  <c r="DD4" i="42"/>
  <c r="DE6" i="42"/>
  <c r="CG6" i="42"/>
  <c r="BU6" i="42"/>
  <c r="BH36" i="42"/>
  <c r="CB3" i="42"/>
  <c r="CN3" i="42"/>
  <c r="CV3" i="42"/>
  <c r="DD3" i="42"/>
  <c r="CF4" i="42"/>
  <c r="CN4" i="42"/>
  <c r="CV4" i="42"/>
  <c r="CZ4" i="42"/>
  <c r="DH4" i="42"/>
  <c r="DI6" i="42"/>
  <c r="CK6" i="42"/>
  <c r="BY6" i="42"/>
  <c r="CA6" i="42"/>
  <c r="CQ6" i="42"/>
  <c r="BU3" i="42"/>
  <c r="BY3" i="42"/>
  <c r="CC3" i="42"/>
  <c r="CG3" i="42"/>
  <c r="CK3" i="42"/>
  <c r="CO3" i="42"/>
  <c r="CS3" i="42"/>
  <c r="CW3" i="42"/>
  <c r="BQ4" i="42"/>
  <c r="BU4" i="42"/>
  <c r="BY4" i="42"/>
  <c r="CG4" i="42"/>
  <c r="CK4" i="42"/>
  <c r="CO4" i="42"/>
  <c r="CS4" i="42"/>
  <c r="CW4" i="42"/>
  <c r="BP5" i="42"/>
  <c r="BT5" i="42"/>
  <c r="BX5" i="42"/>
  <c r="CB5" i="42"/>
  <c r="CR5" i="42"/>
  <c r="CV5" i="42"/>
  <c r="CB6" i="42"/>
  <c r="CM6" i="42"/>
  <c r="DC6" i="42"/>
  <c r="M7" i="42"/>
  <c r="BT7" i="42"/>
  <c r="CH7" i="42"/>
  <c r="M8" i="42"/>
  <c r="AZ10" i="42"/>
  <c r="BK10" i="42" s="1"/>
  <c r="BB36" i="42"/>
  <c r="M18" i="42"/>
  <c r="K21" i="42"/>
  <c r="M21" i="42" s="1"/>
  <c r="BV3" i="42"/>
  <c r="CD3" i="42"/>
  <c r="CH3" i="42"/>
  <c r="CT3" i="42"/>
  <c r="BN4" i="42"/>
  <c r="BV4" i="42"/>
  <c r="CT4" i="42"/>
  <c r="BK7" i="42"/>
  <c r="AS14" i="42"/>
  <c r="DG6" i="42"/>
  <c r="BO7" i="42"/>
  <c r="BS7" i="42"/>
  <c r="CA7" i="42"/>
  <c r="CE7" i="42"/>
  <c r="CM7" i="42"/>
  <c r="CQ7" i="42"/>
  <c r="CY7" i="42"/>
  <c r="DC7" i="42"/>
  <c r="DG7" i="42"/>
  <c r="BR21" i="42"/>
  <c r="CD21" i="42"/>
  <c r="CP21" i="42"/>
  <c r="BQ28" i="42"/>
  <c r="CC28" i="42"/>
  <c r="CO28" i="42"/>
  <c r="BF31" i="42"/>
  <c r="BB31" i="42"/>
  <c r="BB34" i="42" s="1"/>
  <c r="AX31" i="42"/>
  <c r="AX34" i="42" s="1"/>
  <c r="AT31" i="42"/>
  <c r="AT34" i="42" s="1"/>
  <c r="AP31" i="42"/>
  <c r="AP34" i="42" s="1"/>
  <c r="AL31" i="42"/>
  <c r="CO31" i="42" s="1"/>
  <c r="AH31" i="42"/>
  <c r="BQ31" i="42" s="1"/>
  <c r="BH31" i="42"/>
  <c r="BH34" i="42" s="1"/>
  <c r="BD31" i="42"/>
  <c r="BD34" i="42" s="1"/>
  <c r="AZ31" i="42"/>
  <c r="AV31" i="42"/>
  <c r="AR31" i="42"/>
  <c r="AR34" i="42" s="1"/>
  <c r="AN31" i="42"/>
  <c r="DA31" i="42" s="1"/>
  <c r="AJ31" i="42"/>
  <c r="CA31" i="42" s="1"/>
  <c r="AI31" i="42"/>
  <c r="BY31" i="42" s="1"/>
  <c r="AQ31" i="42"/>
  <c r="AQ34" i="42" s="1"/>
  <c r="AQ38" i="42" s="1"/>
  <c r="AY31" i="42"/>
  <c r="BG31" i="42"/>
  <c r="BG34" i="42" s="1"/>
  <c r="BJ38" i="42"/>
  <c r="BV27" i="42"/>
  <c r="CH27" i="42"/>
  <c r="DF27" i="42"/>
  <c r="CU31" i="42"/>
  <c r="BQ6" i="42"/>
  <c r="CC6" i="42"/>
  <c r="CO6" i="42"/>
  <c r="BQ7" i="42"/>
  <c r="BU7" i="42"/>
  <c r="BY7" i="42"/>
  <c r="CC7" i="42"/>
  <c r="CG7" i="42"/>
  <c r="CK7" i="42"/>
  <c r="CO7" i="42"/>
  <c r="CS7" i="42"/>
  <c r="CW7" i="42"/>
  <c r="BX21" i="42"/>
  <c r="CJ21" i="42"/>
  <c r="K22" i="42"/>
  <c r="M22" i="42" s="1"/>
  <c r="K27" i="42"/>
  <c r="M27" i="42" s="1"/>
  <c r="K28" i="42"/>
  <c r="BW28" i="42"/>
  <c r="CI28" i="42"/>
  <c r="K29" i="42"/>
  <c r="M29" i="42" s="1"/>
  <c r="I34" i="42"/>
  <c r="E13" i="40" s="1"/>
  <c r="E14" i="40" s="1"/>
  <c r="J32" i="42"/>
  <c r="BP27" i="42"/>
  <c r="CB27" i="42"/>
  <c r="CN27" i="42"/>
  <c r="CS31" i="42"/>
  <c r="CW31" i="42"/>
  <c r="CP12" i="45" l="1"/>
  <c r="CM12" i="45"/>
  <c r="BN12" i="45"/>
  <c r="BQ12" i="45"/>
  <c r="DH2" i="44"/>
  <c r="CG31" i="42"/>
  <c r="DI31" i="42"/>
  <c r="BP12" i="45"/>
  <c r="BO12" i="45"/>
  <c r="CL3" i="44"/>
  <c r="DD25" i="46"/>
  <c r="BA38" i="42"/>
  <c r="V15" i="40" s="1"/>
  <c r="BN27" i="46"/>
  <c r="BP11" i="46"/>
  <c r="BN11" i="46"/>
  <c r="BS11" i="46"/>
  <c r="CQ12" i="45"/>
  <c r="DD2" i="44"/>
  <c r="DD4" i="44" s="1"/>
  <c r="CL12" i="45"/>
  <c r="DF9" i="46"/>
  <c r="CE5" i="46"/>
  <c r="CN3" i="44"/>
  <c r="AU34" i="42"/>
  <c r="DF2" i="44"/>
  <c r="DF4" i="44" s="1"/>
  <c r="CN12" i="45"/>
  <c r="AH48" i="40"/>
  <c r="AI48" i="40" s="1"/>
  <c r="F49" i="40"/>
  <c r="BW9" i="49"/>
  <c r="BY10" i="49" s="1"/>
  <c r="BY11" i="49" s="1"/>
  <c r="DG31" i="42"/>
  <c r="CP3" i="44"/>
  <c r="CD3" i="45"/>
  <c r="BK3" i="45"/>
  <c r="AF39" i="40"/>
  <c r="AC39" i="40" s="1"/>
  <c r="CK31" i="42"/>
  <c r="CJ31" i="42"/>
  <c r="DF31" i="42"/>
  <c r="AU36" i="42"/>
  <c r="DE2" i="44"/>
  <c r="DE4" i="44" s="1"/>
  <c r="DE6" i="44" s="1"/>
  <c r="DE8" i="44" s="1"/>
  <c r="CM3" i="44"/>
  <c r="AO4" i="44"/>
  <c r="O23" i="40" s="1"/>
  <c r="N23" i="40" s="1"/>
  <c r="BZ3" i="45"/>
  <c r="DC7" i="49"/>
  <c r="DC9" i="49" s="1"/>
  <c r="DC10" i="49" s="1"/>
  <c r="DC11" i="49" s="1"/>
  <c r="BW7" i="49"/>
  <c r="CF31" i="42"/>
  <c r="AH47" i="40"/>
  <c r="AI47" i="40" s="1"/>
  <c r="AI49" i="40" s="1"/>
  <c r="DH31" i="42"/>
  <c r="DD31" i="42"/>
  <c r="CI31" i="42"/>
  <c r="AV34" i="42"/>
  <c r="DI2" i="44"/>
  <c r="DI4" i="44" s="1"/>
  <c r="DI6" i="44" s="1"/>
  <c r="DI8" i="44" s="1"/>
  <c r="CO3" i="44"/>
  <c r="CE3" i="45"/>
  <c r="CB39" i="46"/>
  <c r="AL9" i="49"/>
  <c r="L50" i="40" s="1"/>
  <c r="L51" i="40" s="1"/>
  <c r="DI10" i="49"/>
  <c r="DI11" i="49" s="1"/>
  <c r="N50" i="40"/>
  <c r="N51" i="40" s="1"/>
  <c r="D19" i="40"/>
  <c r="D14" i="40"/>
  <c r="D39" i="40"/>
  <c r="D34" i="40"/>
  <c r="BE9" i="42"/>
  <c r="AO9" i="42"/>
  <c r="DG9" i="42" s="1"/>
  <c r="DG36" i="42" s="1"/>
  <c r="CQ31" i="42"/>
  <c r="AY34" i="42"/>
  <c r="AY38" i="42" s="1"/>
  <c r="BF34" i="42"/>
  <c r="BF38" i="42" s="1"/>
  <c r="Z15" i="40" s="1"/>
  <c r="DI25" i="46"/>
  <c r="CY24" i="46"/>
  <c r="BZ5" i="46"/>
  <c r="BK11" i="42"/>
  <c r="BK12" i="42"/>
  <c r="DA24" i="46"/>
  <c r="AV36" i="42"/>
  <c r="DA36" i="42"/>
  <c r="DB36" i="42"/>
  <c r="M11" i="45"/>
  <c r="M16" i="45" s="1"/>
  <c r="BP27" i="46"/>
  <c r="BR27" i="46"/>
  <c r="BQ27" i="46"/>
  <c r="BK27" i="46"/>
  <c r="BO27" i="46"/>
  <c r="CX24" i="46"/>
  <c r="DI12" i="45"/>
  <c r="BO2" i="45"/>
  <c r="BQ11" i="46"/>
  <c r="BW2" i="45"/>
  <c r="BY2" i="45"/>
  <c r="J16" i="45"/>
  <c r="G16" i="45"/>
  <c r="D28" i="40" s="1"/>
  <c r="DA24" i="48"/>
  <c r="DA26" i="48" s="1"/>
  <c r="CR6" i="42"/>
  <c r="CR36" i="42" s="1"/>
  <c r="BU31" i="42"/>
  <c r="BW31" i="42"/>
  <c r="CC31" i="42"/>
  <c r="BH38" i="42"/>
  <c r="DG12" i="45"/>
  <c r="DD12" i="45"/>
  <c r="BK2" i="45"/>
  <c r="CY24" i="48"/>
  <c r="CY26" i="48" s="1"/>
  <c r="BK22" i="46"/>
  <c r="BK21" i="48"/>
  <c r="AM26" i="48"/>
  <c r="G45" i="40" s="1"/>
  <c r="BK31" i="42"/>
  <c r="CV12" i="45"/>
  <c r="CF12" i="45"/>
  <c r="BB38" i="42"/>
  <c r="W15" i="40" s="1"/>
  <c r="W13" i="40"/>
  <c r="W14" i="40" s="1"/>
  <c r="BO31" i="42"/>
  <c r="BG38" i="42"/>
  <c r="AA15" i="40" s="1"/>
  <c r="AA13" i="40"/>
  <c r="AA14" i="40" s="1"/>
  <c r="CE31" i="42"/>
  <c r="CM31" i="42"/>
  <c r="AR38" i="42"/>
  <c r="Q15" i="40" s="1"/>
  <c r="Q13" i="40"/>
  <c r="Q14" i="40" s="1"/>
  <c r="AT38" i="42"/>
  <c r="R15" i="40" s="1"/>
  <c r="R13" i="40"/>
  <c r="R14" i="40" s="1"/>
  <c r="BK3" i="44"/>
  <c r="CD12" i="45"/>
  <c r="BS2" i="45"/>
  <c r="CT12" i="45"/>
  <c r="BZ39" i="46"/>
  <c r="CC39" i="46"/>
  <c r="CA39" i="46"/>
  <c r="CI22" i="46"/>
  <c r="CK22" i="46"/>
  <c r="M27" i="46"/>
  <c r="CB12" i="45"/>
  <c r="AX38" i="42"/>
  <c r="T15" i="40" s="1"/>
  <c r="T13" i="40"/>
  <c r="T14" i="40" s="1"/>
  <c r="BS31" i="42"/>
  <c r="BD38" i="42"/>
  <c r="X15" i="40" s="1"/>
  <c r="X13" i="40"/>
  <c r="X14" i="40" s="1"/>
  <c r="AP38" i="42"/>
  <c r="P15" i="40" s="1"/>
  <c r="P13" i="40"/>
  <c r="P14" i="40" s="1"/>
  <c r="BK2" i="44"/>
  <c r="BK12" i="45"/>
  <c r="CJ4" i="45"/>
  <c r="DH9" i="46"/>
  <c r="CK10" i="49"/>
  <c r="CK11" i="49" s="1"/>
  <c r="BS10" i="49"/>
  <c r="BS11" i="49" s="1"/>
  <c r="CW10" i="49"/>
  <c r="AM9" i="49"/>
  <c r="G50" i="40" s="1"/>
  <c r="AI9" i="49"/>
  <c r="I50" i="40" s="1"/>
  <c r="I51" i="40" s="1"/>
  <c r="CE10" i="49"/>
  <c r="CE11" i="49" s="1"/>
  <c r="CQ10" i="49"/>
  <c r="CQ11" i="49" s="1"/>
  <c r="CW24" i="48"/>
  <c r="CW26" i="48" s="1"/>
  <c r="DF24" i="48"/>
  <c r="DF26" i="48" s="1"/>
  <c r="CS24" i="48"/>
  <c r="CS26" i="48" s="1"/>
  <c r="CU24" i="48"/>
  <c r="CU26" i="48" s="1"/>
  <c r="DB24" i="48"/>
  <c r="DB26" i="48" s="1"/>
  <c r="CV24" i="48"/>
  <c r="CV26" i="48" s="1"/>
  <c r="CX24" i="48"/>
  <c r="CX26" i="48" s="1"/>
  <c r="CR24" i="48"/>
  <c r="CR26" i="48" s="1"/>
  <c r="CT24" i="48"/>
  <c r="CT26" i="48" s="1"/>
  <c r="DI24" i="48"/>
  <c r="DI26" i="48" s="1"/>
  <c r="CN21" i="48"/>
  <c r="CN22" i="48" s="1"/>
  <c r="AL22" i="48"/>
  <c r="CQ21" i="48"/>
  <c r="CQ22" i="48" s="1"/>
  <c r="CM21" i="48"/>
  <c r="CM22" i="48" s="1"/>
  <c r="CP21" i="48"/>
  <c r="CP22" i="48" s="1"/>
  <c r="CL21" i="48"/>
  <c r="CL22" i="48" s="1"/>
  <c r="CO21" i="48"/>
  <c r="CO22" i="48" s="1"/>
  <c r="CJ21" i="48"/>
  <c r="CJ22" i="48" s="1"/>
  <c r="CF21" i="48"/>
  <c r="CF22" i="48" s="1"/>
  <c r="CI21" i="48"/>
  <c r="CI22" i="48" s="1"/>
  <c r="AK22" i="48"/>
  <c r="CH21" i="48"/>
  <c r="CH22" i="48" s="1"/>
  <c r="CK21" i="48"/>
  <c r="CK22" i="48" s="1"/>
  <c r="CG21" i="48"/>
  <c r="CG22" i="48" s="1"/>
  <c r="BP21" i="48"/>
  <c r="BP22" i="48" s="1"/>
  <c r="AH22" i="48"/>
  <c r="J43" i="40" s="1"/>
  <c r="BS21" i="48"/>
  <c r="BS22" i="48" s="1"/>
  <c r="BO21" i="48"/>
  <c r="BO22" i="48" s="1"/>
  <c r="BR21" i="48"/>
  <c r="BR22" i="48" s="1"/>
  <c r="BN21" i="48"/>
  <c r="BN22" i="48" s="1"/>
  <c r="BQ21" i="48"/>
  <c r="BQ22" i="48" s="1"/>
  <c r="CB21" i="48"/>
  <c r="CB22" i="48" s="1"/>
  <c r="CE21" i="48"/>
  <c r="CE22" i="48" s="1"/>
  <c r="CA21" i="48"/>
  <c r="CA22" i="48" s="1"/>
  <c r="CD21" i="48"/>
  <c r="CD22" i="48" s="1"/>
  <c r="BZ21" i="48"/>
  <c r="BZ22" i="48" s="1"/>
  <c r="AJ22" i="48"/>
  <c r="M43" i="40" s="1"/>
  <c r="CC21" i="48"/>
  <c r="CC22" i="48" s="1"/>
  <c r="DG24" i="48"/>
  <c r="DG26" i="48" s="1"/>
  <c r="DH24" i="48"/>
  <c r="DH26" i="48" s="1"/>
  <c r="DE24" i="48"/>
  <c r="DE26" i="48" s="1"/>
  <c r="AI22" i="48"/>
  <c r="I43" i="40" s="1"/>
  <c r="BX21" i="48"/>
  <c r="BX22" i="48" s="1"/>
  <c r="BT21" i="48"/>
  <c r="BT22" i="48" s="1"/>
  <c r="BW21" i="48"/>
  <c r="BW22" i="48" s="1"/>
  <c r="BV21" i="48"/>
  <c r="BV22" i="48" s="1"/>
  <c r="BY21" i="48"/>
  <c r="BY22" i="48" s="1"/>
  <c r="BU21" i="48"/>
  <c r="BU22" i="48" s="1"/>
  <c r="AN24" i="48"/>
  <c r="AN29" i="48" s="1"/>
  <c r="DD24" i="48"/>
  <c r="DD26" i="48" s="1"/>
  <c r="AO24" i="48"/>
  <c r="AO26" i="48" s="1"/>
  <c r="O45" i="40" s="1"/>
  <c r="AN3" i="47"/>
  <c r="AM3" i="47"/>
  <c r="J4" i="47"/>
  <c r="K2" i="47"/>
  <c r="M2" i="47" s="1"/>
  <c r="M3" i="47"/>
  <c r="BG43" i="46"/>
  <c r="BC43" i="46"/>
  <c r="AY43" i="46"/>
  <c r="AU43" i="46"/>
  <c r="AQ43" i="46"/>
  <c r="BI43" i="46"/>
  <c r="BE43" i="46"/>
  <c r="BA43" i="46"/>
  <c r="BB43" i="46"/>
  <c r="AV43" i="46"/>
  <c r="AP43" i="46"/>
  <c r="BH43" i="46"/>
  <c r="AZ43" i="46"/>
  <c r="AT43" i="46"/>
  <c r="AO43" i="46"/>
  <c r="AW43" i="46"/>
  <c r="BF43" i="46"/>
  <c r="AS43" i="46"/>
  <c r="AX43" i="46"/>
  <c r="BD43" i="46"/>
  <c r="AR43" i="46"/>
  <c r="CZ48" i="46"/>
  <c r="DB48" i="46"/>
  <c r="CX48" i="46"/>
  <c r="CY48" i="46"/>
  <c r="BK48" i="46"/>
  <c r="DA48" i="46"/>
  <c r="DC48" i="46"/>
  <c r="M43" i="46"/>
  <c r="BK39" i="46"/>
  <c r="AI38" i="46"/>
  <c r="BK38" i="46" s="1"/>
  <c r="DF17" i="46"/>
  <c r="DH25" i="46"/>
  <c r="AL14" i="46"/>
  <c r="AK14" i="46"/>
  <c r="AI12" i="46"/>
  <c r="CN22" i="46"/>
  <c r="CL22" i="46"/>
  <c r="CP22" i="46"/>
  <c r="DH17" i="46"/>
  <c r="DB24" i="46"/>
  <c r="BR11" i="46"/>
  <c r="M14" i="46"/>
  <c r="DD9" i="46"/>
  <c r="AM15" i="46"/>
  <c r="AH37" i="46"/>
  <c r="AN42" i="46"/>
  <c r="AJ30" i="46"/>
  <c r="BF34" i="46"/>
  <c r="BB34" i="46"/>
  <c r="AX34" i="46"/>
  <c r="AT34" i="46"/>
  <c r="AP34" i="46"/>
  <c r="BI34" i="46"/>
  <c r="BE34" i="46"/>
  <c r="BA34" i="46"/>
  <c r="AW34" i="46"/>
  <c r="AS34" i="46"/>
  <c r="AO34" i="46"/>
  <c r="BC34" i="46"/>
  <c r="AU34" i="46"/>
  <c r="BG34" i="46"/>
  <c r="AY34" i="46"/>
  <c r="AQ34" i="46"/>
  <c r="BD34" i="46"/>
  <c r="AZ34" i="46"/>
  <c r="AV34" i="46"/>
  <c r="BH34" i="46"/>
  <c r="AR34" i="46"/>
  <c r="DE17" i="46"/>
  <c r="DI17" i="46"/>
  <c r="AN33" i="46"/>
  <c r="BK17" i="46"/>
  <c r="DD17" i="46"/>
  <c r="CK6" i="46"/>
  <c r="CI6" i="46"/>
  <c r="CG6" i="46"/>
  <c r="AM41" i="46"/>
  <c r="AI28" i="46"/>
  <c r="CD39" i="46"/>
  <c r="M37" i="46"/>
  <c r="M42" i="46"/>
  <c r="M41" i="46"/>
  <c r="M30" i="46"/>
  <c r="M28" i="46"/>
  <c r="AL40" i="46"/>
  <c r="AK40" i="46"/>
  <c r="BF35" i="46"/>
  <c r="BB35" i="46"/>
  <c r="AX35" i="46"/>
  <c r="AT35" i="46"/>
  <c r="AP35" i="46"/>
  <c r="BI35" i="46"/>
  <c r="BE35" i="46"/>
  <c r="BA35" i="46"/>
  <c r="AW35" i="46"/>
  <c r="AS35" i="46"/>
  <c r="AO35" i="46"/>
  <c r="BG35" i="46"/>
  <c r="AY35" i="46"/>
  <c r="AQ35" i="46"/>
  <c r="BC35" i="46"/>
  <c r="AU35" i="46"/>
  <c r="BD35" i="46"/>
  <c r="AZ35" i="46"/>
  <c r="AV35" i="46"/>
  <c r="BH35" i="46"/>
  <c r="AR35" i="46"/>
  <c r="M34" i="46"/>
  <c r="DE25" i="46"/>
  <c r="DC24" i="46"/>
  <c r="AJ13" i="46"/>
  <c r="CC5" i="46"/>
  <c r="M33" i="46"/>
  <c r="BK25" i="46"/>
  <c r="CF22" i="46"/>
  <c r="CJ22" i="46"/>
  <c r="CH22" i="46"/>
  <c r="CQ22" i="46"/>
  <c r="CM22" i="46"/>
  <c r="CA5" i="46"/>
  <c r="CZ24" i="46"/>
  <c r="DE9" i="46"/>
  <c r="DI9" i="46"/>
  <c r="M12" i="46"/>
  <c r="CJ6" i="46"/>
  <c r="CF6" i="46"/>
  <c r="BK6" i="46"/>
  <c r="CD5" i="46"/>
  <c r="BK5" i="46"/>
  <c r="AM32" i="46"/>
  <c r="BK32" i="46" s="1"/>
  <c r="AI29" i="46"/>
  <c r="BK29" i="46" s="1"/>
  <c r="AL31" i="46"/>
  <c r="AK31" i="46"/>
  <c r="DF25" i="46"/>
  <c r="BK9" i="46"/>
  <c r="J50" i="46"/>
  <c r="K3" i="46"/>
  <c r="M3" i="46" s="1"/>
  <c r="CH6" i="46"/>
  <c r="BV12" i="45"/>
  <c r="BQ10" i="45"/>
  <c r="BS10" i="45"/>
  <c r="BO10" i="45"/>
  <c r="BP10" i="45"/>
  <c r="BN10" i="45"/>
  <c r="BR10" i="45"/>
  <c r="K16" i="45"/>
  <c r="DE12" i="45"/>
  <c r="CC12" i="45"/>
  <c r="CA12" i="45"/>
  <c r="CE12" i="45"/>
  <c r="CK12" i="45"/>
  <c r="CI12" i="45"/>
  <c r="CG12" i="45"/>
  <c r="CF4" i="45"/>
  <c r="DF12" i="45"/>
  <c r="CH12" i="45"/>
  <c r="CO10" i="45"/>
  <c r="CQ10" i="45"/>
  <c r="CM10" i="45"/>
  <c r="CN10" i="45"/>
  <c r="CL10" i="45"/>
  <c r="CP10" i="45"/>
  <c r="CH4" i="45"/>
  <c r="BT2" i="45"/>
  <c r="BV2" i="45"/>
  <c r="BX2" i="45"/>
  <c r="CU9" i="45"/>
  <c r="CW9" i="45"/>
  <c r="CR9" i="45"/>
  <c r="CV9" i="45"/>
  <c r="CT9" i="45"/>
  <c r="CS9" i="45"/>
  <c r="BU12" i="45"/>
  <c r="BY12" i="45"/>
  <c r="BW12" i="45"/>
  <c r="AI6" i="45"/>
  <c r="CC10" i="45"/>
  <c r="CE10" i="45"/>
  <c r="CA10" i="45"/>
  <c r="CD10" i="45"/>
  <c r="CB10" i="45"/>
  <c r="BZ10" i="45"/>
  <c r="AN7" i="45"/>
  <c r="AM7" i="45"/>
  <c r="DC9" i="45"/>
  <c r="CY9" i="45"/>
  <c r="DA9" i="45"/>
  <c r="DB9" i="45"/>
  <c r="CZ9" i="45"/>
  <c r="CX9" i="45"/>
  <c r="BT12" i="45"/>
  <c r="BY10" i="45"/>
  <c r="BU10" i="45"/>
  <c r="BW10" i="45"/>
  <c r="BX10" i="45"/>
  <c r="BV10" i="45"/>
  <c r="BT10" i="45"/>
  <c r="CS12" i="45"/>
  <c r="CW12" i="45"/>
  <c r="CU12" i="45"/>
  <c r="DI10" i="45"/>
  <c r="DE10" i="45"/>
  <c r="DG10" i="45"/>
  <c r="DH10" i="45"/>
  <c r="DF10" i="45"/>
  <c r="DD10" i="45"/>
  <c r="BK10" i="45"/>
  <c r="AM8" i="45"/>
  <c r="AN8" i="45"/>
  <c r="BR2" i="45"/>
  <c r="BN2" i="45"/>
  <c r="BP2" i="45"/>
  <c r="BK9" i="45"/>
  <c r="BF13" i="45"/>
  <c r="BB13" i="45"/>
  <c r="AX13" i="45"/>
  <c r="AT13" i="45"/>
  <c r="AP13" i="45"/>
  <c r="AL13" i="45"/>
  <c r="AL16" i="45" s="1"/>
  <c r="AH13" i="45"/>
  <c r="BH13" i="45"/>
  <c r="BD13" i="45"/>
  <c r="AZ13" i="45"/>
  <c r="AV13" i="45"/>
  <c r="AR13" i="45"/>
  <c r="AN13" i="45"/>
  <c r="AJ13" i="45"/>
  <c r="BI13" i="45"/>
  <c r="BA13" i="45"/>
  <c r="AS13" i="45"/>
  <c r="AK13" i="45"/>
  <c r="BE13" i="45"/>
  <c r="AW13" i="45"/>
  <c r="AO13" i="45"/>
  <c r="BG13" i="45"/>
  <c r="AQ13" i="45"/>
  <c r="BC13" i="45"/>
  <c r="AM13" i="45"/>
  <c r="AY13" i="45"/>
  <c r="AI13" i="45"/>
  <c r="AU13" i="45"/>
  <c r="BF5" i="45"/>
  <c r="BB5" i="45"/>
  <c r="AX5" i="45"/>
  <c r="AT5" i="45"/>
  <c r="AP5" i="45"/>
  <c r="BI5" i="45"/>
  <c r="BE5" i="45"/>
  <c r="BA5" i="45"/>
  <c r="AW5" i="45"/>
  <c r="AS5" i="45"/>
  <c r="AO5" i="45"/>
  <c r="BH5" i="45"/>
  <c r="BH16" i="45" s="1"/>
  <c r="BD5" i="45"/>
  <c r="AZ5" i="45"/>
  <c r="AZ16" i="45" s="1"/>
  <c r="U28" i="40" s="1"/>
  <c r="AV5" i="45"/>
  <c r="AR5" i="45"/>
  <c r="AR16" i="45" s="1"/>
  <c r="Q28" i="40" s="1"/>
  <c r="BG5" i="45"/>
  <c r="BC5" i="45"/>
  <c r="AY5" i="45"/>
  <c r="AU5" i="45"/>
  <c r="AQ5" i="45"/>
  <c r="AK16" i="45"/>
  <c r="CK4" i="45"/>
  <c r="CI4" i="45"/>
  <c r="CG4" i="45"/>
  <c r="CV3" i="44"/>
  <c r="CR3" i="44"/>
  <c r="CU3" i="44"/>
  <c r="CT3" i="44"/>
  <c r="CW3" i="44"/>
  <c r="CS3" i="44"/>
  <c r="AI4" i="44"/>
  <c r="I23" i="40" s="1"/>
  <c r="BX2" i="44"/>
  <c r="BW2" i="44"/>
  <c r="BT2" i="44"/>
  <c r="BV2" i="44"/>
  <c r="BU2" i="44"/>
  <c r="BY2" i="44"/>
  <c r="BX3" i="44"/>
  <c r="BT3" i="44"/>
  <c r="BW3" i="44"/>
  <c r="BV3" i="44"/>
  <c r="BU3" i="44"/>
  <c r="BY3" i="44"/>
  <c r="CB2" i="44"/>
  <c r="CD2" i="44"/>
  <c r="CC2" i="44"/>
  <c r="CA2" i="44"/>
  <c r="CE2" i="44"/>
  <c r="AJ4" i="44"/>
  <c r="M23" i="40" s="1"/>
  <c r="BZ2" i="44"/>
  <c r="DG4" i="44"/>
  <c r="CZ3" i="44"/>
  <c r="CZ4" i="44" s="1"/>
  <c r="DC3" i="44"/>
  <c r="DC4" i="44" s="1"/>
  <c r="CY3" i="44"/>
  <c r="CY4" i="44" s="1"/>
  <c r="DB3" i="44"/>
  <c r="DB4" i="44" s="1"/>
  <c r="CX3" i="44"/>
  <c r="CX4" i="44" s="1"/>
  <c r="DA3" i="44"/>
  <c r="DA4" i="44" s="1"/>
  <c r="AN4" i="44"/>
  <c r="H23" i="40" s="1"/>
  <c r="CJ3" i="44"/>
  <c r="CJ4" i="44" s="1"/>
  <c r="CF3" i="44"/>
  <c r="CF4" i="44" s="1"/>
  <c r="CI3" i="44"/>
  <c r="CI4" i="44" s="1"/>
  <c r="CH3" i="44"/>
  <c r="CH4" i="44" s="1"/>
  <c r="CK3" i="44"/>
  <c r="CK4" i="44" s="1"/>
  <c r="CG3" i="44"/>
  <c r="CG4" i="44" s="1"/>
  <c r="AH4" i="44"/>
  <c r="J23" i="40" s="1"/>
  <c r="BS2" i="44"/>
  <c r="BS4" i="44" s="1"/>
  <c r="BO2" i="44"/>
  <c r="BO4" i="44" s="1"/>
  <c r="BR2" i="44"/>
  <c r="BR4" i="44" s="1"/>
  <c r="BN2" i="44"/>
  <c r="BN4" i="44" s="1"/>
  <c r="BP2" i="44"/>
  <c r="BP4" i="44" s="1"/>
  <c r="BQ2" i="44"/>
  <c r="BQ4" i="44" s="1"/>
  <c r="CB3" i="44"/>
  <c r="CE3" i="44"/>
  <c r="CA3" i="44"/>
  <c r="CD3" i="44"/>
  <c r="BZ3" i="44"/>
  <c r="CC3" i="44"/>
  <c r="AK4" i="44"/>
  <c r="AM4" i="44"/>
  <c r="G23" i="40" s="1"/>
  <c r="CV2" i="44"/>
  <c r="CR2" i="44"/>
  <c r="CT2" i="44"/>
  <c r="CS2" i="44"/>
  <c r="CU2" i="44"/>
  <c r="CW2" i="44"/>
  <c r="CN2" i="44"/>
  <c r="AL4" i="44"/>
  <c r="CP2" i="44"/>
  <c r="CL2" i="44"/>
  <c r="CM2" i="44"/>
  <c r="CQ2" i="44"/>
  <c r="CQ4" i="44" s="1"/>
  <c r="CO2" i="44"/>
  <c r="DH4" i="44"/>
  <c r="K4" i="43"/>
  <c r="BX31" i="42"/>
  <c r="BV31" i="42"/>
  <c r="BT31" i="42"/>
  <c r="AS36" i="42"/>
  <c r="AS34" i="42"/>
  <c r="AI36" i="42"/>
  <c r="AI34" i="42"/>
  <c r="BV8" i="42"/>
  <c r="BV36" i="42" s="1"/>
  <c r="BX8" i="42"/>
  <c r="BX34" i="42" s="1"/>
  <c r="BT8" i="42"/>
  <c r="BT36" i="42" s="1"/>
  <c r="BY8" i="42"/>
  <c r="BY36" i="42" s="1"/>
  <c r="BW8" i="42"/>
  <c r="BK8" i="42"/>
  <c r="BU8" i="42"/>
  <c r="BU36" i="42" s="1"/>
  <c r="J34" i="42"/>
  <c r="K3" i="42"/>
  <c r="M3" i="42" s="1"/>
  <c r="AM36" i="42"/>
  <c r="CV6" i="42"/>
  <c r="CV36" i="42" s="1"/>
  <c r="CU6" i="42"/>
  <c r="CU36" i="42" s="1"/>
  <c r="CT6" i="42"/>
  <c r="CT36" i="42" s="1"/>
  <c r="AN29" i="42"/>
  <c r="AM29" i="42"/>
  <c r="AN28" i="42"/>
  <c r="AM28" i="42"/>
  <c r="BK28" i="42"/>
  <c r="CD31" i="42"/>
  <c r="CB31" i="42"/>
  <c r="BZ31" i="42"/>
  <c r="CN31" i="42"/>
  <c r="CL31" i="42"/>
  <c r="CP31" i="42"/>
  <c r="BK14" i="42"/>
  <c r="DC36" i="42"/>
  <c r="M28" i="42"/>
  <c r="BK6" i="42"/>
  <c r="AN27" i="42"/>
  <c r="AM27" i="42"/>
  <c r="DB31" i="42"/>
  <c r="CZ31" i="42"/>
  <c r="CX31" i="42"/>
  <c r="CZ36" i="42"/>
  <c r="CY36" i="42"/>
  <c r="CX36" i="42"/>
  <c r="AL5" i="42"/>
  <c r="AK5" i="42"/>
  <c r="AJ4" i="42"/>
  <c r="DC31" i="42"/>
  <c r="CY31" i="42"/>
  <c r="AN22" i="42"/>
  <c r="AM22" i="42"/>
  <c r="AN21" i="42"/>
  <c r="AM21" i="42"/>
  <c r="AZ34" i="42"/>
  <c r="U13" i="40" s="1"/>
  <c r="U14" i="40" s="1"/>
  <c r="AZ36" i="42"/>
  <c r="CW36" i="42"/>
  <c r="CS6" i="42"/>
  <c r="AW38" i="42"/>
  <c r="BC38" i="42"/>
  <c r="M5" i="42"/>
  <c r="M4" i="42"/>
  <c r="BP31" i="42"/>
  <c r="BN31" i="42"/>
  <c r="BR31" i="42"/>
  <c r="AO36" i="42" l="1"/>
  <c r="AU16" i="45"/>
  <c r="AT16" i="45"/>
  <c r="R28" i="40" s="1"/>
  <c r="BA16" i="45"/>
  <c r="V28" i="40" s="1"/>
  <c r="AE10" i="51"/>
  <c r="DE9" i="42"/>
  <c r="DE34" i="42" s="1"/>
  <c r="CL4" i="44"/>
  <c r="CL6" i="44" s="1"/>
  <c r="CL8" i="44" s="1"/>
  <c r="BB16" i="45"/>
  <c r="W28" i="40" s="1"/>
  <c r="CP4" i="44"/>
  <c r="CP6" i="44" s="1"/>
  <c r="CP8" i="44" s="1"/>
  <c r="DH9" i="42"/>
  <c r="DH34" i="42" s="1"/>
  <c r="DI9" i="42"/>
  <c r="DI36" i="42" s="1"/>
  <c r="DD9" i="42"/>
  <c r="DD36" i="42" s="1"/>
  <c r="AO34" i="42"/>
  <c r="AO38" i="42" s="1"/>
  <c r="O15" i="40" s="1"/>
  <c r="CN4" i="44"/>
  <c r="CN6" i="44" s="1"/>
  <c r="CN8" i="44" s="1"/>
  <c r="DF9" i="42"/>
  <c r="DF36" i="42" s="1"/>
  <c r="AU38" i="42"/>
  <c r="CO4" i="44"/>
  <c r="CO6" i="44" s="1"/>
  <c r="CO8" i="44" s="1"/>
  <c r="CM4" i="44"/>
  <c r="CM6" i="44" s="1"/>
  <c r="CM8" i="44" s="1"/>
  <c r="BK9" i="42"/>
  <c r="BW34" i="42"/>
  <c r="AV38" i="42"/>
  <c r="S15" i="40" s="1"/>
  <c r="S13" i="40"/>
  <c r="S14" i="40" s="1"/>
  <c r="CS4" i="44"/>
  <c r="CS6" i="44" s="1"/>
  <c r="CS8" i="44" s="1"/>
  <c r="Z13" i="40"/>
  <c r="Z14" i="40" s="1"/>
  <c r="AU50" i="46"/>
  <c r="AU52" i="46" s="1"/>
  <c r="AU54" i="46" s="1"/>
  <c r="BE34" i="42"/>
  <c r="Y13" i="40" s="1"/>
  <c r="Y14" i="40" s="1"/>
  <c r="BE36" i="42"/>
  <c r="AH49" i="40"/>
  <c r="BH50" i="46"/>
  <c r="BH52" i="46" s="1"/>
  <c r="BH54" i="46" s="1"/>
  <c r="BA50" i="46"/>
  <c r="V33" i="40" s="1"/>
  <c r="AO6" i="44"/>
  <c r="AO8" i="44" s="1"/>
  <c r="O25" i="40" s="1"/>
  <c r="N25" i="40" s="1"/>
  <c r="F50" i="40"/>
  <c r="G51" i="40"/>
  <c r="O46" i="40"/>
  <c r="N45" i="40"/>
  <c r="N46" i="40" s="1"/>
  <c r="D29" i="40"/>
  <c r="CW4" i="44"/>
  <c r="CW6" i="44" s="1"/>
  <c r="CW8" i="44" s="1"/>
  <c r="BW36" i="42"/>
  <c r="CR4" i="44"/>
  <c r="CR6" i="44" s="1"/>
  <c r="CR8" i="44" s="1"/>
  <c r="BC50" i="46"/>
  <c r="BC52" i="46" s="1"/>
  <c r="BC54" i="46" s="1"/>
  <c r="AX50" i="46"/>
  <c r="T33" i="40" s="1"/>
  <c r="AQ50" i="46"/>
  <c r="AQ52" i="46" s="1"/>
  <c r="AQ54" i="46" s="1"/>
  <c r="BU34" i="42"/>
  <c r="BU38" i="42" s="1"/>
  <c r="AZ50" i="46"/>
  <c r="U33" i="40" s="1"/>
  <c r="AS50" i="46"/>
  <c r="AS52" i="46" s="1"/>
  <c r="AS54" i="46" s="1"/>
  <c r="BI50" i="46"/>
  <c r="AB33" i="40" s="1"/>
  <c r="BB50" i="46"/>
  <c r="W33" i="40" s="1"/>
  <c r="BK3" i="47"/>
  <c r="M50" i="46"/>
  <c r="BG50" i="46"/>
  <c r="AA33" i="40" s="1"/>
  <c r="AT50" i="46"/>
  <c r="R33" i="40" s="1"/>
  <c r="AY50" i="46"/>
  <c r="AY52" i="46" s="1"/>
  <c r="AY54" i="46" s="1"/>
  <c r="BE50" i="46"/>
  <c r="Y33" i="40" s="1"/>
  <c r="G46" i="40"/>
  <c r="L43" i="40"/>
  <c r="F43" i="40" s="1"/>
  <c r="BK21" i="42"/>
  <c r="BK31" i="46"/>
  <c r="BK8" i="45"/>
  <c r="DC27" i="48"/>
  <c r="BY4" i="44"/>
  <c r="BY6" i="44" s="1"/>
  <c r="BY8" i="44" s="1"/>
  <c r="BC16" i="45"/>
  <c r="BC18" i="45" s="1"/>
  <c r="BC20" i="45" s="1"/>
  <c r="AS16" i="45"/>
  <c r="AS18" i="45" s="1"/>
  <c r="AS20" i="45" s="1"/>
  <c r="BT34" i="42"/>
  <c r="BT38" i="42" s="1"/>
  <c r="CC4" i="44"/>
  <c r="CC6" i="44" s="1"/>
  <c r="CC8" i="44" s="1"/>
  <c r="BI16" i="45"/>
  <c r="AB28" i="40" s="1"/>
  <c r="BK27" i="42"/>
  <c r="AR50" i="46"/>
  <c r="Q33" i="40" s="1"/>
  <c r="BD50" i="46"/>
  <c r="X33" i="40" s="1"/>
  <c r="AW50" i="46"/>
  <c r="AW52" i="46" s="1"/>
  <c r="AW54" i="46" s="1"/>
  <c r="AP50" i="46"/>
  <c r="P33" i="40" s="1"/>
  <c r="BV4" i="44"/>
  <c r="BV6" i="44" s="1"/>
  <c r="BV8" i="44" s="1"/>
  <c r="BK35" i="46"/>
  <c r="AV50" i="46"/>
  <c r="S33" i="40" s="1"/>
  <c r="BY34" i="42"/>
  <c r="BY38" i="42" s="1"/>
  <c r="L23" i="40"/>
  <c r="F23" i="40" s="1"/>
  <c r="BZ4" i="44"/>
  <c r="BZ6" i="44" s="1"/>
  <c r="BZ8" i="44" s="1"/>
  <c r="BT4" i="44"/>
  <c r="BT6" i="44" s="1"/>
  <c r="BT8" i="44" s="1"/>
  <c r="AY16" i="45"/>
  <c r="AY18" i="45" s="1"/>
  <c r="AY20" i="45" s="1"/>
  <c r="DI27" i="48"/>
  <c r="DI28" i="48" s="1"/>
  <c r="AI38" i="42"/>
  <c r="I15" i="40" s="1"/>
  <c r="I13" i="40"/>
  <c r="L28" i="40"/>
  <c r="BF50" i="46"/>
  <c r="Z33" i="40" s="1"/>
  <c r="DG34" i="42"/>
  <c r="DG38" i="42" s="1"/>
  <c r="BV34" i="42"/>
  <c r="BV38" i="42" s="1"/>
  <c r="CU4" i="44"/>
  <c r="CU6" i="44" s="1"/>
  <c r="CU8" i="44" s="1"/>
  <c r="CV4" i="44"/>
  <c r="CV6" i="44" s="1"/>
  <c r="CV8" i="44" s="1"/>
  <c r="BG16" i="45"/>
  <c r="AA28" i="40" s="1"/>
  <c r="AW16" i="45"/>
  <c r="AW18" i="45" s="1"/>
  <c r="AW20" i="45" s="1"/>
  <c r="CW11" i="49"/>
  <c r="BY24" i="48"/>
  <c r="BY26" i="48" s="1"/>
  <c r="BX24" i="48"/>
  <c r="BX26" i="48" s="1"/>
  <c r="CC24" i="48"/>
  <c r="CC26" i="48" s="1"/>
  <c r="CA24" i="48"/>
  <c r="CA26" i="48" s="1"/>
  <c r="BN24" i="48"/>
  <c r="BN26" i="48" s="1"/>
  <c r="AH24" i="48"/>
  <c r="AH29" i="48" s="1"/>
  <c r="CH24" i="48"/>
  <c r="CH26" i="48" s="1"/>
  <c r="CJ24" i="48"/>
  <c r="CJ26" i="48" s="1"/>
  <c r="CM24" i="48"/>
  <c r="CM26" i="48" s="1"/>
  <c r="BV24" i="48"/>
  <c r="BV26" i="48" s="1"/>
  <c r="AI24" i="48"/>
  <c r="AI29" i="48" s="1"/>
  <c r="AJ24" i="48"/>
  <c r="AJ29" i="48" s="1"/>
  <c r="CE24" i="48"/>
  <c r="CE26" i="48" s="1"/>
  <c r="BR24" i="48"/>
  <c r="BR26" i="48" s="1"/>
  <c r="BP24" i="48"/>
  <c r="BP26" i="48" s="1"/>
  <c r="AK24" i="48"/>
  <c r="AK29" i="48" s="1"/>
  <c r="CO24" i="48"/>
  <c r="CO26" i="48" s="1"/>
  <c r="CQ24" i="48"/>
  <c r="CQ26" i="48" s="1"/>
  <c r="CW27" i="48"/>
  <c r="CW28" i="48" s="1"/>
  <c r="AN26" i="48"/>
  <c r="H45" i="40" s="1"/>
  <c r="BW24" i="48"/>
  <c r="BW26" i="48" s="1"/>
  <c r="BZ24" i="48"/>
  <c r="BZ26" i="48" s="1"/>
  <c r="CB24" i="48"/>
  <c r="CB26" i="48" s="1"/>
  <c r="BO24" i="48"/>
  <c r="BO26" i="48" s="1"/>
  <c r="CG24" i="48"/>
  <c r="CG26" i="48" s="1"/>
  <c r="CI24" i="48"/>
  <c r="CI26" i="48" s="1"/>
  <c r="CL24" i="48"/>
  <c r="CL26" i="48" s="1"/>
  <c r="AL24" i="48"/>
  <c r="AL29" i="48" s="1"/>
  <c r="BU24" i="48"/>
  <c r="BU26" i="48" s="1"/>
  <c r="BT24" i="48"/>
  <c r="BT26" i="48" s="1"/>
  <c r="CD24" i="48"/>
  <c r="CD26" i="48" s="1"/>
  <c r="BQ24" i="48"/>
  <c r="BQ26" i="48" s="1"/>
  <c r="BS24" i="48"/>
  <c r="BS26" i="48" s="1"/>
  <c r="CK24" i="48"/>
  <c r="CK26" i="48" s="1"/>
  <c r="CF24" i="48"/>
  <c r="CF26" i="48" s="1"/>
  <c r="CP24" i="48"/>
  <c r="CP26" i="48" s="1"/>
  <c r="CN24" i="48"/>
  <c r="CN26" i="48" s="1"/>
  <c r="AL2" i="47"/>
  <c r="AH2" i="47"/>
  <c r="AK2" i="47"/>
  <c r="AJ2" i="47"/>
  <c r="K4" i="47"/>
  <c r="AO2" i="47"/>
  <c r="AI2" i="47"/>
  <c r="AM4" i="47"/>
  <c r="G38" i="40" s="1"/>
  <c r="CV3" i="47"/>
  <c r="CV4" i="47" s="1"/>
  <c r="CR3" i="47"/>
  <c r="CR4" i="47" s="1"/>
  <c r="CU3" i="47"/>
  <c r="CU4" i="47" s="1"/>
  <c r="CT3" i="47"/>
  <c r="CT4" i="47" s="1"/>
  <c r="CW3" i="47"/>
  <c r="CW4" i="47" s="1"/>
  <c r="CS3" i="47"/>
  <c r="CS4" i="47" s="1"/>
  <c r="M4" i="47"/>
  <c r="CZ3" i="47"/>
  <c r="CZ4" i="47" s="1"/>
  <c r="DC3" i="47"/>
  <c r="DC4" i="47" s="1"/>
  <c r="CY3" i="47"/>
  <c r="CY4" i="47" s="1"/>
  <c r="DB3" i="47"/>
  <c r="DB4" i="47" s="1"/>
  <c r="CX3" i="47"/>
  <c r="CX4" i="47" s="1"/>
  <c r="AN4" i="47"/>
  <c r="H38" i="40" s="1"/>
  <c r="DA3" i="47"/>
  <c r="DA4" i="47" s="1"/>
  <c r="BA52" i="46"/>
  <c r="BA54" i="46" s="1"/>
  <c r="V35" i="40" s="1"/>
  <c r="V36" i="40" s="1"/>
  <c r="CU41" i="46"/>
  <c r="CT41" i="46"/>
  <c r="CW41" i="46"/>
  <c r="CR41" i="46"/>
  <c r="CV41" i="46"/>
  <c r="CS41" i="46"/>
  <c r="DB33" i="46"/>
  <c r="CY33" i="46"/>
  <c r="CZ33" i="46"/>
  <c r="CX33" i="46"/>
  <c r="AN50" i="46"/>
  <c r="H33" i="40" s="1"/>
  <c r="DC33" i="46"/>
  <c r="DA33" i="46"/>
  <c r="DF34" i="46"/>
  <c r="DG34" i="46"/>
  <c r="DH34" i="46"/>
  <c r="DD34" i="46"/>
  <c r="DE34" i="46"/>
  <c r="DI34" i="46"/>
  <c r="BZ30" i="46"/>
  <c r="CA30" i="46"/>
  <c r="CC30" i="46"/>
  <c r="CD30" i="46"/>
  <c r="CB30" i="46"/>
  <c r="CE30" i="46"/>
  <c r="BP37" i="46"/>
  <c r="BO37" i="46"/>
  <c r="BR37" i="46"/>
  <c r="BQ37" i="46"/>
  <c r="BN37" i="46"/>
  <c r="BS37" i="46"/>
  <c r="CV15" i="46"/>
  <c r="CS15" i="46"/>
  <c r="CW15" i="46"/>
  <c r="AM50" i="46"/>
  <c r="G33" i="40" s="1"/>
  <c r="CT15" i="46"/>
  <c r="CU15" i="46"/>
  <c r="CR15" i="46"/>
  <c r="BV12" i="46"/>
  <c r="BY12" i="46"/>
  <c r="AI50" i="46"/>
  <c r="I33" i="40" s="1"/>
  <c r="BW12" i="46"/>
  <c r="BT12" i="46"/>
  <c r="BX12" i="46"/>
  <c r="BU12" i="46"/>
  <c r="CN14" i="46"/>
  <c r="CP14" i="46"/>
  <c r="CL14" i="46"/>
  <c r="CO14" i="46"/>
  <c r="AL50" i="46"/>
  <c r="CM14" i="46"/>
  <c r="CQ14" i="46"/>
  <c r="DD43" i="46"/>
  <c r="DE43" i="46"/>
  <c r="DF43" i="46"/>
  <c r="DI43" i="46"/>
  <c r="DG43" i="46"/>
  <c r="DH43" i="46"/>
  <c r="BW29" i="46"/>
  <c r="BT29" i="46"/>
  <c r="BX29" i="46"/>
  <c r="BV29" i="46"/>
  <c r="BU29" i="46"/>
  <c r="BY29" i="46"/>
  <c r="AO50" i="46"/>
  <c r="O33" i="40" s="1"/>
  <c r="DD35" i="46"/>
  <c r="DE35" i="46"/>
  <c r="DF35" i="46"/>
  <c r="DH35" i="46"/>
  <c r="DI35" i="46"/>
  <c r="DG35" i="46"/>
  <c r="CI40" i="46"/>
  <c r="CJ40" i="46"/>
  <c r="CG40" i="46"/>
  <c r="CK40" i="46"/>
  <c r="CH40" i="46"/>
  <c r="CF40" i="46"/>
  <c r="BK41" i="46"/>
  <c r="BK33" i="46"/>
  <c r="BK30" i="46"/>
  <c r="BK37" i="46"/>
  <c r="BK12" i="46"/>
  <c r="AZ52" i="46"/>
  <c r="AZ54" i="46" s="1"/>
  <c r="U35" i="40" s="1"/>
  <c r="U36" i="40" s="1"/>
  <c r="BZ13" i="46"/>
  <c r="CB13" i="46"/>
  <c r="CD13" i="46"/>
  <c r="CA13" i="46"/>
  <c r="CC13" i="46"/>
  <c r="CE13" i="46"/>
  <c r="CO40" i="46"/>
  <c r="CP40" i="46"/>
  <c r="CL40" i="46"/>
  <c r="CQ40" i="46"/>
  <c r="CN40" i="46"/>
  <c r="CM40" i="46"/>
  <c r="DB42" i="46"/>
  <c r="CY42" i="46"/>
  <c r="DA42" i="46"/>
  <c r="DC42" i="46"/>
  <c r="CZ42" i="46"/>
  <c r="CX42" i="46"/>
  <c r="CI31" i="46"/>
  <c r="CK31" i="46"/>
  <c r="CF31" i="46"/>
  <c r="CJ31" i="46"/>
  <c r="CH31" i="46"/>
  <c r="CG31" i="46"/>
  <c r="BW28" i="46"/>
  <c r="BX28" i="46"/>
  <c r="BT28" i="46"/>
  <c r="BV28" i="46"/>
  <c r="BU28" i="46"/>
  <c r="BY28" i="46"/>
  <c r="AJ50" i="46"/>
  <c r="M33" i="40" s="1"/>
  <c r="BK14" i="46"/>
  <c r="K50" i="46"/>
  <c r="AH3" i="46"/>
  <c r="CP31" i="46"/>
  <c r="CL31" i="46"/>
  <c r="CQ31" i="46"/>
  <c r="CM31" i="46"/>
  <c r="CN31" i="46"/>
  <c r="CO31" i="46"/>
  <c r="CT32" i="46"/>
  <c r="CU32" i="46"/>
  <c r="CS32" i="46"/>
  <c r="CW32" i="46"/>
  <c r="CR32" i="46"/>
  <c r="CV32" i="46"/>
  <c r="BK13" i="46"/>
  <c r="BK40" i="46"/>
  <c r="BK28" i="46"/>
  <c r="BK34" i="46"/>
  <c r="BK42" i="46"/>
  <c r="BK15" i="46"/>
  <c r="CJ14" i="46"/>
  <c r="CF14" i="46"/>
  <c r="CH14" i="46"/>
  <c r="CI14" i="46"/>
  <c r="CG14" i="46"/>
  <c r="CK14" i="46"/>
  <c r="BX38" i="46"/>
  <c r="BW38" i="46"/>
  <c r="BT38" i="46"/>
  <c r="BY38" i="46"/>
  <c r="BU38" i="46"/>
  <c r="BV38" i="46"/>
  <c r="BK43" i="46"/>
  <c r="AK50" i="46"/>
  <c r="AK18" i="45"/>
  <c r="AK23" i="45" s="1"/>
  <c r="AZ18" i="45"/>
  <c r="AZ20" i="45" s="1"/>
  <c r="U30" i="40" s="1"/>
  <c r="BT13" i="45"/>
  <c r="BX13" i="45"/>
  <c r="BV13" i="45"/>
  <c r="BY13" i="45"/>
  <c r="BU13" i="45"/>
  <c r="BW13" i="45"/>
  <c r="BP13" i="45"/>
  <c r="BP16" i="45" s="1"/>
  <c r="BR13" i="45"/>
  <c r="BR16" i="45" s="1"/>
  <c r="BN13" i="45"/>
  <c r="BN16" i="45" s="1"/>
  <c r="BO13" i="45"/>
  <c r="BO16" i="45" s="1"/>
  <c r="BS13" i="45"/>
  <c r="BS16" i="45" s="1"/>
  <c r="BQ13" i="45"/>
  <c r="BQ16" i="45" s="1"/>
  <c r="AH16" i="45"/>
  <c r="J28" i="40" s="1"/>
  <c r="AL18" i="45"/>
  <c r="AL23" i="45" s="1"/>
  <c r="BW6" i="45"/>
  <c r="BV6" i="45"/>
  <c r="BY6" i="45"/>
  <c r="BU6" i="45"/>
  <c r="BX6" i="45"/>
  <c r="BT6" i="45"/>
  <c r="AQ16" i="45"/>
  <c r="BD16" i="45"/>
  <c r="X28" i="40" s="1"/>
  <c r="AP16" i="45"/>
  <c r="P28" i="40" s="1"/>
  <c r="BF16" i="45"/>
  <c r="Z28" i="40" s="1"/>
  <c r="CJ13" i="45"/>
  <c r="CJ16" i="45" s="1"/>
  <c r="CF13" i="45"/>
  <c r="CF16" i="45" s="1"/>
  <c r="CH13" i="45"/>
  <c r="CH16" i="45" s="1"/>
  <c r="CG13" i="45"/>
  <c r="CG16" i="45" s="1"/>
  <c r="CK13" i="45"/>
  <c r="CK16" i="45" s="1"/>
  <c r="CI13" i="45"/>
  <c r="CI16" i="45" s="1"/>
  <c r="CB13" i="45"/>
  <c r="CB16" i="45" s="1"/>
  <c r="BZ13" i="45"/>
  <c r="BZ16" i="45" s="1"/>
  <c r="CD13" i="45"/>
  <c r="CD16" i="45" s="1"/>
  <c r="CA13" i="45"/>
  <c r="CA16" i="45" s="1"/>
  <c r="CE13" i="45"/>
  <c r="CE16" i="45" s="1"/>
  <c r="CC13" i="45"/>
  <c r="CC16" i="45" s="1"/>
  <c r="CN13" i="45"/>
  <c r="CN16" i="45" s="1"/>
  <c r="CP13" i="45"/>
  <c r="CP16" i="45" s="1"/>
  <c r="CL13" i="45"/>
  <c r="CL16" i="45" s="1"/>
  <c r="CM13" i="45"/>
  <c r="CM16" i="45" s="1"/>
  <c r="CO13" i="45"/>
  <c r="CO16" i="45" s="1"/>
  <c r="CQ13" i="45"/>
  <c r="CQ16" i="45" s="1"/>
  <c r="DC8" i="45"/>
  <c r="CY8" i="45"/>
  <c r="DB8" i="45"/>
  <c r="CX8" i="45"/>
  <c r="DA8" i="45"/>
  <c r="CZ8" i="45"/>
  <c r="CT7" i="45"/>
  <c r="AM16" i="45"/>
  <c r="G28" i="40" s="1"/>
  <c r="CV7" i="45"/>
  <c r="CR7" i="45"/>
  <c r="CS7" i="45"/>
  <c r="CU7" i="45"/>
  <c r="CW7" i="45"/>
  <c r="BK6" i="45"/>
  <c r="AI16" i="45"/>
  <c r="I28" i="40" s="1"/>
  <c r="AU18" i="45"/>
  <c r="AU20" i="45" s="1"/>
  <c r="AR18" i="45"/>
  <c r="AR20" i="45" s="1"/>
  <c r="Q30" i="40" s="1"/>
  <c r="BH18" i="45"/>
  <c r="BH20" i="45" s="1"/>
  <c r="AT18" i="45"/>
  <c r="AT20" i="45" s="1"/>
  <c r="R30" i="40" s="1"/>
  <c r="BK5" i="45"/>
  <c r="CR13" i="45"/>
  <c r="CV13" i="45"/>
  <c r="CT13" i="45"/>
  <c r="CU13" i="45"/>
  <c r="CS13" i="45"/>
  <c r="CW13" i="45"/>
  <c r="DH13" i="45"/>
  <c r="DD13" i="45"/>
  <c r="DF13" i="45"/>
  <c r="DG13" i="45"/>
  <c r="DE13" i="45"/>
  <c r="DI13" i="45"/>
  <c r="CZ13" i="45"/>
  <c r="DB13" i="45"/>
  <c r="CX13" i="45"/>
  <c r="DA13" i="45"/>
  <c r="CY13" i="45"/>
  <c r="DC13" i="45"/>
  <c r="AN16" i="45"/>
  <c r="H28" i="40" s="1"/>
  <c r="DB7" i="45"/>
  <c r="CX7" i="45"/>
  <c r="CZ7" i="45"/>
  <c r="DA7" i="45"/>
  <c r="DC7" i="45"/>
  <c r="CY7" i="45"/>
  <c r="AV16" i="45"/>
  <c r="S28" i="40" s="1"/>
  <c r="AO16" i="45"/>
  <c r="O28" i="40" s="1"/>
  <c r="DE5" i="45"/>
  <c r="DF5" i="45"/>
  <c r="DD5" i="45"/>
  <c r="DI5" i="45"/>
  <c r="DH5" i="45"/>
  <c r="DG5" i="45"/>
  <c r="BE16" i="45"/>
  <c r="Y28" i="40" s="1"/>
  <c r="AX16" i="45"/>
  <c r="T28" i="40" s="1"/>
  <c r="BK13" i="45"/>
  <c r="CU8" i="45"/>
  <c r="CT8" i="45"/>
  <c r="CW8" i="45"/>
  <c r="CS8" i="45"/>
  <c r="CV8" i="45"/>
  <c r="CR8" i="45"/>
  <c r="BK7" i="45"/>
  <c r="AJ16" i="45"/>
  <c r="M28" i="40" s="1"/>
  <c r="CJ6" i="44"/>
  <c r="CJ8" i="44" s="1"/>
  <c r="DA6" i="44"/>
  <c r="DA8" i="44" s="1"/>
  <c r="DB6" i="44"/>
  <c r="DB8" i="44" s="1"/>
  <c r="CK6" i="44"/>
  <c r="CK8" i="44" s="1"/>
  <c r="CH6" i="44"/>
  <c r="CH8" i="44" s="1"/>
  <c r="CZ6" i="44"/>
  <c r="CZ8" i="44" s="1"/>
  <c r="BS6" i="44"/>
  <c r="BS8" i="44" s="1"/>
  <c r="DC6" i="44"/>
  <c r="DC8" i="44" s="1"/>
  <c r="CG6" i="44"/>
  <c r="CG8" i="44" s="1"/>
  <c r="AI6" i="44"/>
  <c r="AI11" i="44" s="1"/>
  <c r="CX6" i="44"/>
  <c r="CX8" i="44" s="1"/>
  <c r="CQ6" i="44"/>
  <c r="CQ8" i="44" s="1"/>
  <c r="AL6" i="44"/>
  <c r="AL11" i="44" s="1"/>
  <c r="AM6" i="44"/>
  <c r="AM11" i="44" s="1"/>
  <c r="BN6" i="44"/>
  <c r="BN8" i="44" s="1"/>
  <c r="AH6" i="44"/>
  <c r="AH11" i="44" s="1"/>
  <c r="CI6" i="44"/>
  <c r="CI8" i="44" s="1"/>
  <c r="AN6" i="44"/>
  <c r="AN11" i="44" s="1"/>
  <c r="CY6" i="44"/>
  <c r="CY8" i="44" s="1"/>
  <c r="AJ6" i="44"/>
  <c r="AJ11" i="44" s="1"/>
  <c r="CD4" i="44"/>
  <c r="DH6" i="44"/>
  <c r="DH8" i="44" s="1"/>
  <c r="AK6" i="44"/>
  <c r="AK11" i="44" s="1"/>
  <c r="BR6" i="44"/>
  <c r="BR8" i="44" s="1"/>
  <c r="DD6" i="44"/>
  <c r="DD8" i="44" s="1"/>
  <c r="CE4" i="44"/>
  <c r="CB4" i="44"/>
  <c r="BW4" i="44"/>
  <c r="BP6" i="44"/>
  <c r="BP8" i="44" s="1"/>
  <c r="CF6" i="44"/>
  <c r="CF8" i="44" s="1"/>
  <c r="CT4" i="44"/>
  <c r="DF6" i="44"/>
  <c r="DF8" i="44" s="1"/>
  <c r="BQ6" i="44"/>
  <c r="BQ8" i="44" s="1"/>
  <c r="BO6" i="44"/>
  <c r="BO8" i="44" s="1"/>
  <c r="DG6" i="44"/>
  <c r="DG8" i="44" s="1"/>
  <c r="CA4" i="44"/>
  <c r="BU4" i="44"/>
  <c r="BX4" i="44"/>
  <c r="K9" i="43"/>
  <c r="BF4" i="43"/>
  <c r="BF9" i="43" s="1"/>
  <c r="Z18" i="40" s="1"/>
  <c r="BB4" i="43"/>
  <c r="BB9" i="43" s="1"/>
  <c r="W18" i="40" s="1"/>
  <c r="AX4" i="43"/>
  <c r="AX9" i="43" s="1"/>
  <c r="T18" i="40" s="1"/>
  <c r="AT4" i="43"/>
  <c r="AT9" i="43" s="1"/>
  <c r="R18" i="40" s="1"/>
  <c r="AP4" i="43"/>
  <c r="AP9" i="43" s="1"/>
  <c r="P18" i="40" s="1"/>
  <c r="AL4" i="43"/>
  <c r="AH4" i="43"/>
  <c r="BI4" i="43"/>
  <c r="BI9" i="43" s="1"/>
  <c r="AB18" i="40" s="1"/>
  <c r="BE4" i="43"/>
  <c r="BE9" i="43" s="1"/>
  <c r="Y18" i="40" s="1"/>
  <c r="BA4" i="43"/>
  <c r="BA9" i="43" s="1"/>
  <c r="V18" i="40" s="1"/>
  <c r="AW4" i="43"/>
  <c r="AW9" i="43" s="1"/>
  <c r="AS4" i="43"/>
  <c r="AS9" i="43" s="1"/>
  <c r="AO4" i="43"/>
  <c r="AK4" i="43"/>
  <c r="AQ4" i="43"/>
  <c r="AQ9" i="43" s="1"/>
  <c r="BD4" i="43"/>
  <c r="BD9" i="43" s="1"/>
  <c r="X18" i="40" s="1"/>
  <c r="AV4" i="43"/>
  <c r="AV9" i="43" s="1"/>
  <c r="S18" i="40" s="1"/>
  <c r="AN4" i="43"/>
  <c r="AZ4" i="43"/>
  <c r="AZ9" i="43" s="1"/>
  <c r="U18" i="40" s="1"/>
  <c r="AJ4" i="43"/>
  <c r="BG4" i="43"/>
  <c r="BG9" i="43" s="1"/>
  <c r="AA18" i="40" s="1"/>
  <c r="BC4" i="43"/>
  <c r="BC9" i="43" s="1"/>
  <c r="AU4" i="43"/>
  <c r="AU9" i="43" s="1"/>
  <c r="AM4" i="43"/>
  <c r="BH4" i="43"/>
  <c r="BH9" i="43" s="1"/>
  <c r="AR4" i="43"/>
  <c r="AR9" i="43" s="1"/>
  <c r="Q18" i="40" s="1"/>
  <c r="AY4" i="43"/>
  <c r="AY9" i="43" s="1"/>
  <c r="AI4" i="43"/>
  <c r="M4" i="43"/>
  <c r="M9" i="43" s="1"/>
  <c r="AL34" i="42"/>
  <c r="AL36" i="42"/>
  <c r="CM5" i="42"/>
  <c r="CQ5" i="42"/>
  <c r="CO5" i="42"/>
  <c r="CN5" i="42"/>
  <c r="CL5" i="42"/>
  <c r="CP5" i="42"/>
  <c r="CW21" i="42"/>
  <c r="CS21" i="42"/>
  <c r="CR21" i="42"/>
  <c r="CU21" i="42"/>
  <c r="CV21" i="42"/>
  <c r="CT21" i="42"/>
  <c r="BK5" i="42"/>
  <c r="DC27" i="42"/>
  <c r="CY27" i="42"/>
  <c r="DB27" i="42"/>
  <c r="CX27" i="42"/>
  <c r="DA27" i="42"/>
  <c r="CZ27" i="42"/>
  <c r="CZ28" i="42"/>
  <c r="DC28" i="42"/>
  <c r="CY28" i="42"/>
  <c r="DB28" i="42"/>
  <c r="CX28" i="42"/>
  <c r="DA28" i="42"/>
  <c r="AM34" i="42"/>
  <c r="BX36" i="42"/>
  <c r="BX38" i="42" s="1"/>
  <c r="DA21" i="42"/>
  <c r="DC21" i="42"/>
  <c r="CY21" i="42"/>
  <c r="CX21" i="42"/>
  <c r="AN34" i="42"/>
  <c r="H13" i="40" s="1"/>
  <c r="CZ21" i="42"/>
  <c r="DB21" i="42"/>
  <c r="CT22" i="42"/>
  <c r="CW22" i="42"/>
  <c r="CS22" i="42"/>
  <c r="CV22" i="42"/>
  <c r="CR22" i="42"/>
  <c r="CU22" i="42"/>
  <c r="AK36" i="42"/>
  <c r="AK34" i="42"/>
  <c r="CK5" i="42"/>
  <c r="CI5" i="42"/>
  <c r="CG5" i="42"/>
  <c r="CH5" i="42"/>
  <c r="CF5" i="42"/>
  <c r="CJ5" i="42"/>
  <c r="CT29" i="42"/>
  <c r="CW29" i="42"/>
  <c r="CS29" i="42"/>
  <c r="CV29" i="42"/>
  <c r="CR29" i="42"/>
  <c r="CU29" i="42"/>
  <c r="CS36" i="42"/>
  <c r="AS38" i="42"/>
  <c r="DB22" i="42"/>
  <c r="CX22" i="42"/>
  <c r="DA22" i="42"/>
  <c r="CZ22" i="42"/>
  <c r="DC22" i="42"/>
  <c r="CY22" i="42"/>
  <c r="AJ34" i="42"/>
  <c r="AJ36" i="42"/>
  <c r="CE4" i="42"/>
  <c r="CB4" i="42"/>
  <c r="CC4" i="42"/>
  <c r="BZ4" i="42"/>
  <c r="CA4" i="42"/>
  <c r="CD4" i="42"/>
  <c r="DC29" i="42"/>
  <c r="CY29" i="42"/>
  <c r="DA29" i="42"/>
  <c r="CX29" i="42"/>
  <c r="DB29" i="42"/>
  <c r="CZ29" i="42"/>
  <c r="M34" i="42"/>
  <c r="AZ38" i="42"/>
  <c r="U15" i="40" s="1"/>
  <c r="BK22" i="42"/>
  <c r="BK4" i="42"/>
  <c r="CV27" i="42"/>
  <c r="CR27" i="42"/>
  <c r="CU27" i="42"/>
  <c r="CW27" i="42"/>
  <c r="CS27" i="42"/>
  <c r="CT27" i="42"/>
  <c r="CV28" i="42"/>
  <c r="CR28" i="42"/>
  <c r="CT28" i="42"/>
  <c r="CW28" i="42"/>
  <c r="CS28" i="42"/>
  <c r="CU28" i="42"/>
  <c r="BK29" i="42"/>
  <c r="K34" i="42"/>
  <c r="AH3" i="42"/>
  <c r="AI41" i="42"/>
  <c r="BA18" i="45" l="1"/>
  <c r="BA20" i="45" s="1"/>
  <c r="V30" i="40" s="1"/>
  <c r="DE36" i="42"/>
  <c r="DE38" i="42" s="1"/>
  <c r="BB18" i="45"/>
  <c r="BB20" i="45" s="1"/>
  <c r="W30" i="40" s="1"/>
  <c r="L13" i="40"/>
  <c r="DH36" i="42"/>
  <c r="DH38" i="42" s="1"/>
  <c r="L33" i="40"/>
  <c r="AR52" i="46"/>
  <c r="AR54" i="46" s="1"/>
  <c r="Q35" i="40" s="1"/>
  <c r="Q36" i="40" s="1"/>
  <c r="DI34" i="42"/>
  <c r="DI38" i="42" s="1"/>
  <c r="DF34" i="42"/>
  <c r="DF38" i="42" s="1"/>
  <c r="DD34" i="42"/>
  <c r="DD38" i="42" s="1"/>
  <c r="O13" i="40"/>
  <c r="N13" i="40" s="1"/>
  <c r="N14" i="40" s="1"/>
  <c r="CB50" i="46"/>
  <c r="BW38" i="42"/>
  <c r="BY39" i="42" s="1"/>
  <c r="BY40" i="42" s="1"/>
  <c r="CD50" i="46"/>
  <c r="CD52" i="46" s="1"/>
  <c r="CD54" i="46" s="1"/>
  <c r="BE38" i="42"/>
  <c r="Y15" i="40" s="1"/>
  <c r="N15" i="40" s="1"/>
  <c r="N16" i="40" s="1"/>
  <c r="DG16" i="45"/>
  <c r="DG18" i="45" s="1"/>
  <c r="DG20" i="45" s="1"/>
  <c r="BF52" i="46"/>
  <c r="BF54" i="46" s="1"/>
  <c r="Z35" i="40" s="1"/>
  <c r="Z36" i="40" s="1"/>
  <c r="BI52" i="46"/>
  <c r="BI54" i="46" s="1"/>
  <c r="AB35" i="40" s="1"/>
  <c r="AB36" i="40" s="1"/>
  <c r="BG52" i="46"/>
  <c r="BG54" i="46" s="1"/>
  <c r="AA35" i="40" s="1"/>
  <c r="AA36" i="40" s="1"/>
  <c r="BG18" i="45"/>
  <c r="BG20" i="45" s="1"/>
  <c r="AA30" i="40" s="1"/>
  <c r="AV52" i="46"/>
  <c r="AV54" i="46" s="1"/>
  <c r="S35" i="40" s="1"/>
  <c r="S36" i="40" s="1"/>
  <c r="BE52" i="46"/>
  <c r="BE54" i="46" s="1"/>
  <c r="Y35" i="40" s="1"/>
  <c r="Y36" i="40" s="1"/>
  <c r="DI16" i="45"/>
  <c r="DI18" i="45" s="1"/>
  <c r="DI20" i="45" s="1"/>
  <c r="AH50" i="40"/>
  <c r="F51" i="40"/>
  <c r="AH23" i="40"/>
  <c r="AI23" i="40" s="1"/>
  <c r="N28" i="40"/>
  <c r="F28" i="40"/>
  <c r="N33" i="40"/>
  <c r="N34" i="40" s="1"/>
  <c r="AH43" i="40"/>
  <c r="AI43" i="40" s="1"/>
  <c r="AI44" i="40" s="1"/>
  <c r="F44" i="40"/>
  <c r="CJ50" i="46"/>
  <c r="CJ52" i="46" s="1"/>
  <c r="CJ54" i="46" s="1"/>
  <c r="AX52" i="46"/>
  <c r="AX54" i="46" s="1"/>
  <c r="T35" i="40" s="1"/>
  <c r="T36" i="40" s="1"/>
  <c r="CH50" i="46"/>
  <c r="CH52" i="46" s="1"/>
  <c r="CH54" i="46" s="1"/>
  <c r="BB52" i="46"/>
  <c r="BB54" i="46" s="1"/>
  <c r="W35" i="40" s="1"/>
  <c r="W36" i="40" s="1"/>
  <c r="AT52" i="46"/>
  <c r="AT54" i="46" s="1"/>
  <c r="R35" i="40" s="1"/>
  <c r="R36" i="40" s="1"/>
  <c r="BI18" i="45"/>
  <c r="BI20" i="45" s="1"/>
  <c r="AB30" i="40" s="1"/>
  <c r="H46" i="40"/>
  <c r="AH8" i="44"/>
  <c r="J25" i="40" s="1"/>
  <c r="DC28" i="48"/>
  <c r="AK41" i="42"/>
  <c r="BT16" i="45"/>
  <c r="BT18" i="45" s="1"/>
  <c r="BT20" i="45" s="1"/>
  <c r="BV16" i="45"/>
  <c r="BV18" i="45" s="1"/>
  <c r="BV20" i="45" s="1"/>
  <c r="CI50" i="46"/>
  <c r="CI52" i="46" s="1"/>
  <c r="CI54" i="46" s="1"/>
  <c r="AP52" i="46"/>
  <c r="AP54" i="46" s="1"/>
  <c r="P35" i="40" s="1"/>
  <c r="P36" i="40" s="1"/>
  <c r="CY16" i="45"/>
  <c r="CY18" i="45" s="1"/>
  <c r="CY20" i="45" s="1"/>
  <c r="CC50" i="46"/>
  <c r="CC52" i="46" s="1"/>
  <c r="CC54" i="46" s="1"/>
  <c r="BZ50" i="46"/>
  <c r="BZ52" i="46" s="1"/>
  <c r="BZ54" i="46" s="1"/>
  <c r="BD52" i="46"/>
  <c r="BD54" i="46" s="1"/>
  <c r="X35" i="40" s="1"/>
  <c r="X36" i="40" s="1"/>
  <c r="AL38" i="42"/>
  <c r="DF16" i="45"/>
  <c r="DF18" i="45" s="1"/>
  <c r="DF20" i="45" s="1"/>
  <c r="AK20" i="45"/>
  <c r="AK26" i="48"/>
  <c r="AJ26" i="48"/>
  <c r="M45" i="40" s="1"/>
  <c r="M46" i="40" s="1"/>
  <c r="CS34" i="42"/>
  <c r="CS38" i="42" s="1"/>
  <c r="AI26" i="48"/>
  <c r="I45" i="40" s="1"/>
  <c r="DI9" i="44"/>
  <c r="DI10" i="44" s="1"/>
  <c r="AM38" i="42"/>
  <c r="G15" i="40" s="1"/>
  <c r="G13" i="40"/>
  <c r="CV34" i="42"/>
  <c r="CV38" i="42" s="1"/>
  <c r="CK9" i="44"/>
  <c r="CZ16" i="45"/>
  <c r="CZ18" i="45" s="1"/>
  <c r="CZ20" i="45" s="1"/>
  <c r="CS16" i="45"/>
  <c r="CS18" i="45" s="1"/>
  <c r="CS20" i="45" s="1"/>
  <c r="AL20" i="45"/>
  <c r="L30" i="40" s="1"/>
  <c r="BX16" i="45"/>
  <c r="BX18" i="45" s="1"/>
  <c r="BX20" i="45" s="1"/>
  <c r="CG50" i="46"/>
  <c r="CG52" i="46" s="1"/>
  <c r="CG54" i="46" s="1"/>
  <c r="DE50" i="46"/>
  <c r="DE52" i="46" s="1"/>
  <c r="DE54" i="46" s="1"/>
  <c r="CP50" i="46"/>
  <c r="CP52" i="46" s="1"/>
  <c r="CP54" i="46" s="1"/>
  <c r="BV50" i="46"/>
  <c r="BV52" i="46" s="1"/>
  <c r="BV54" i="46" s="1"/>
  <c r="CS50" i="46"/>
  <c r="CS52" i="46" s="1"/>
  <c r="CS54" i="46" s="1"/>
  <c r="DD50" i="46"/>
  <c r="DD52" i="46" s="1"/>
  <c r="DD54" i="46" s="1"/>
  <c r="CZ50" i="46"/>
  <c r="CZ52" i="46" s="1"/>
  <c r="CZ54" i="46" s="1"/>
  <c r="AJ38" i="42"/>
  <c r="M15" i="40" s="1"/>
  <c r="M13" i="40"/>
  <c r="AK8" i="44"/>
  <c r="DH50" i="46"/>
  <c r="DH52" i="46" s="1"/>
  <c r="DH54" i="46" s="1"/>
  <c r="AM41" i="42"/>
  <c r="AL8" i="44"/>
  <c r="DA16" i="45"/>
  <c r="DA18" i="45" s="1"/>
  <c r="DA20" i="45" s="1"/>
  <c r="BU16" i="45"/>
  <c r="BU18" i="45" s="1"/>
  <c r="BU20" i="45" s="1"/>
  <c r="DI50" i="46"/>
  <c r="DI52" i="46" s="1"/>
  <c r="BY27" i="48"/>
  <c r="CE27" i="48"/>
  <c r="BS27" i="48"/>
  <c r="AH26" i="48"/>
  <c r="J45" i="40" s="1"/>
  <c r="J46" i="40" s="1"/>
  <c r="CK27" i="48"/>
  <c r="CQ27" i="48"/>
  <c r="AL26" i="48"/>
  <c r="DB6" i="47"/>
  <c r="DB8" i="47" s="1"/>
  <c r="CU6" i="47"/>
  <c r="CU8" i="47" s="1"/>
  <c r="AI4" i="47"/>
  <c r="I38" i="40" s="1"/>
  <c r="BW2" i="47"/>
  <c r="BW4" i="47" s="1"/>
  <c r="BV2" i="47"/>
  <c r="BV4" i="47" s="1"/>
  <c r="BY2" i="47"/>
  <c r="BY4" i="47" s="1"/>
  <c r="BU2" i="47"/>
  <c r="BU4" i="47" s="1"/>
  <c r="BX2" i="47"/>
  <c r="BX4" i="47" s="1"/>
  <c r="BT2" i="47"/>
  <c r="BT4" i="47" s="1"/>
  <c r="BK2" i="47"/>
  <c r="DA6" i="47"/>
  <c r="DA8" i="47" s="1"/>
  <c r="CY6" i="47"/>
  <c r="CY8" i="47" s="1"/>
  <c r="CS6" i="47"/>
  <c r="CS8" i="47" s="1"/>
  <c r="CR6" i="47"/>
  <c r="CR8" i="47" s="1"/>
  <c r="DG2" i="47"/>
  <c r="DG4" i="47" s="1"/>
  <c r="DF2" i="47"/>
  <c r="DF4" i="47" s="1"/>
  <c r="AO4" i="47"/>
  <c r="O38" i="40" s="1"/>
  <c r="N38" i="40" s="1"/>
  <c r="N39" i="40" s="1"/>
  <c r="DI2" i="47"/>
  <c r="DI4" i="47" s="1"/>
  <c r="DE2" i="47"/>
  <c r="DE4" i="47" s="1"/>
  <c r="DH2" i="47"/>
  <c r="DH4" i="47" s="1"/>
  <c r="DD2" i="47"/>
  <c r="DD4" i="47" s="1"/>
  <c r="CI2" i="47"/>
  <c r="CI4" i="47" s="1"/>
  <c r="CH2" i="47"/>
  <c r="CH4" i="47" s="1"/>
  <c r="AK4" i="47"/>
  <c r="CK2" i="47"/>
  <c r="CK4" i="47" s="1"/>
  <c r="CG2" i="47"/>
  <c r="CG4" i="47" s="1"/>
  <c r="CJ2" i="47"/>
  <c r="CJ4" i="47" s="1"/>
  <c r="CF2" i="47"/>
  <c r="CF4" i="47" s="1"/>
  <c r="AN6" i="47"/>
  <c r="AN11" i="47" s="1"/>
  <c r="DC6" i="47"/>
  <c r="DC8" i="47" s="1"/>
  <c r="CW6" i="47"/>
  <c r="CW8" i="47" s="1"/>
  <c r="CV6" i="47"/>
  <c r="CV8" i="47" s="1"/>
  <c r="BS2" i="47"/>
  <c r="BS4" i="47" s="1"/>
  <c r="BO2" i="47"/>
  <c r="BO4" i="47" s="1"/>
  <c r="AH4" i="47"/>
  <c r="J38" i="40" s="1"/>
  <c r="BR2" i="47"/>
  <c r="BR4" i="47" s="1"/>
  <c r="BN2" i="47"/>
  <c r="BN4" i="47" s="1"/>
  <c r="BQ2" i="47"/>
  <c r="BQ4" i="47" s="1"/>
  <c r="BP2" i="47"/>
  <c r="BP4" i="47" s="1"/>
  <c r="CX6" i="47"/>
  <c r="CX8" i="47" s="1"/>
  <c r="CZ6" i="47"/>
  <c r="CZ8" i="47" s="1"/>
  <c r="CT6" i="47"/>
  <c r="CT8" i="47" s="1"/>
  <c r="AM6" i="47"/>
  <c r="AM11" i="47" s="1"/>
  <c r="CE2" i="47"/>
  <c r="CE4" i="47" s="1"/>
  <c r="CA2" i="47"/>
  <c r="CA4" i="47" s="1"/>
  <c r="CD2" i="47"/>
  <c r="CD4" i="47" s="1"/>
  <c r="BZ2" i="47"/>
  <c r="BZ4" i="47" s="1"/>
  <c r="CC2" i="47"/>
  <c r="CC4" i="47" s="1"/>
  <c r="AJ4" i="47"/>
  <c r="M38" i="40" s="1"/>
  <c r="CB2" i="47"/>
  <c r="CB4" i="47" s="1"/>
  <c r="CQ2" i="47"/>
  <c r="CQ4" i="47" s="1"/>
  <c r="CM2" i="47"/>
  <c r="CM4" i="47" s="1"/>
  <c r="AL4" i="47"/>
  <c r="CP2" i="47"/>
  <c r="CP4" i="47" s="1"/>
  <c r="CL2" i="47"/>
  <c r="CL4" i="47" s="1"/>
  <c r="CO2" i="47"/>
  <c r="CO4" i="47" s="1"/>
  <c r="CN2" i="47"/>
  <c r="CN4" i="47" s="1"/>
  <c r="AH50" i="46"/>
  <c r="J33" i="40" s="1"/>
  <c r="BP3" i="46"/>
  <c r="BP50" i="46" s="1"/>
  <c r="BN3" i="46"/>
  <c r="BN50" i="46" s="1"/>
  <c r="BQ3" i="46"/>
  <c r="BQ50" i="46" s="1"/>
  <c r="BO3" i="46"/>
  <c r="BO50" i="46" s="1"/>
  <c r="BR3" i="46"/>
  <c r="BR50" i="46" s="1"/>
  <c r="BS3" i="46"/>
  <c r="BS50" i="46" s="1"/>
  <c r="BT50" i="46"/>
  <c r="DA50" i="46"/>
  <c r="BK3" i="46"/>
  <c r="CA50" i="46"/>
  <c r="AL52" i="46"/>
  <c r="AL57" i="46" s="1"/>
  <c r="CN50" i="46"/>
  <c r="BW50" i="46"/>
  <c r="CT50" i="46"/>
  <c r="CV50" i="46"/>
  <c r="DC50" i="46"/>
  <c r="CY50" i="46"/>
  <c r="CO50" i="46"/>
  <c r="AO52" i="46"/>
  <c r="AO54" i="46" s="1"/>
  <c r="O35" i="40" s="1"/>
  <c r="BU50" i="46"/>
  <c r="AI52" i="46"/>
  <c r="AI57" i="46" s="1"/>
  <c r="AM52" i="46"/>
  <c r="AM57" i="46" s="1"/>
  <c r="DG50" i="46"/>
  <c r="AN52" i="46"/>
  <c r="AN57" i="46" s="1"/>
  <c r="DB50" i="46"/>
  <c r="AK52" i="46"/>
  <c r="AK57" i="46" s="1"/>
  <c r="CK50" i="46"/>
  <c r="CF50" i="46"/>
  <c r="CE50" i="46"/>
  <c r="CB52" i="46"/>
  <c r="CB54" i="46" s="1"/>
  <c r="CQ50" i="46"/>
  <c r="CL50" i="46"/>
  <c r="BX50" i="46"/>
  <c r="BY50" i="46"/>
  <c r="CR50" i="46"/>
  <c r="CW50" i="46"/>
  <c r="DF50" i="46"/>
  <c r="CX50" i="46"/>
  <c r="AJ52" i="46"/>
  <c r="AJ57" i="46" s="1"/>
  <c r="CM50" i="46"/>
  <c r="CU50" i="46"/>
  <c r="CM18" i="45"/>
  <c r="CM20" i="45" s="1"/>
  <c r="BZ18" i="45"/>
  <c r="BZ20" i="45" s="1"/>
  <c r="CG18" i="45"/>
  <c r="CG20" i="45" s="1"/>
  <c r="CB18" i="45"/>
  <c r="CB20" i="45" s="1"/>
  <c r="CQ18" i="45"/>
  <c r="CQ20" i="45" s="1"/>
  <c r="CP18" i="45"/>
  <c r="CP20" i="45" s="1"/>
  <c r="CI18" i="45"/>
  <c r="CI20" i="45" s="1"/>
  <c r="CF18" i="45"/>
  <c r="CF20" i="45" s="1"/>
  <c r="BO18" i="45"/>
  <c r="BO20" i="45" s="1"/>
  <c r="CN18" i="45"/>
  <c r="CN20" i="45" s="1"/>
  <c r="CH18" i="45"/>
  <c r="CH20" i="45" s="1"/>
  <c r="AJ18" i="45"/>
  <c r="AJ23" i="45" s="1"/>
  <c r="BE18" i="45"/>
  <c r="BE20" i="45" s="1"/>
  <c r="Y30" i="40" s="1"/>
  <c r="DD16" i="45"/>
  <c r="AV18" i="45"/>
  <c r="AV20" i="45" s="1"/>
  <c r="S30" i="40" s="1"/>
  <c r="CD18" i="45"/>
  <c r="CD20" i="45" s="1"/>
  <c r="BN18" i="45"/>
  <c r="BN20" i="45" s="1"/>
  <c r="CR16" i="45"/>
  <c r="CJ18" i="45"/>
  <c r="CJ20" i="45" s="1"/>
  <c r="AQ18" i="45"/>
  <c r="AQ20" i="45" s="1"/>
  <c r="BW16" i="45"/>
  <c r="AH18" i="45"/>
  <c r="AH23" i="45" s="1"/>
  <c r="AO18" i="45"/>
  <c r="AO20" i="45" s="1"/>
  <c r="O30" i="40" s="1"/>
  <c r="AN18" i="45"/>
  <c r="AN23" i="45" s="1"/>
  <c r="AI18" i="45"/>
  <c r="AI23" i="45" s="1"/>
  <c r="BR18" i="45"/>
  <c r="BR20" i="45" s="1"/>
  <c r="CX16" i="45"/>
  <c r="CW16" i="45"/>
  <c r="CV16" i="45"/>
  <c r="BF18" i="45"/>
  <c r="BF20" i="45" s="1"/>
  <c r="Z30" i="40" s="1"/>
  <c r="BD18" i="45"/>
  <c r="BD20" i="45" s="1"/>
  <c r="X30" i="40" s="1"/>
  <c r="BQ18" i="45"/>
  <c r="BQ20" i="45" s="1"/>
  <c r="DH16" i="45"/>
  <c r="DE16" i="45"/>
  <c r="DC16" i="45"/>
  <c r="DB16" i="45"/>
  <c r="CL18" i="45"/>
  <c r="CL20" i="45" s="1"/>
  <c r="CU16" i="45"/>
  <c r="AM18" i="45"/>
  <c r="AM23" i="45" s="1"/>
  <c r="BP18" i="45"/>
  <c r="BP20" i="45" s="1"/>
  <c r="CE18" i="45"/>
  <c r="CE20" i="45" s="1"/>
  <c r="AP18" i="45"/>
  <c r="AP20" i="45" s="1"/>
  <c r="P30" i="40" s="1"/>
  <c r="BY16" i="45"/>
  <c r="BS18" i="45"/>
  <c r="BS20" i="45" s="1"/>
  <c r="AX18" i="45"/>
  <c r="AX20" i="45" s="1"/>
  <c r="T30" i="40" s="1"/>
  <c r="CT16" i="45"/>
  <c r="CA18" i="45"/>
  <c r="CA20" i="45" s="1"/>
  <c r="CC18" i="45"/>
  <c r="CC20" i="45" s="1"/>
  <c r="CO18" i="45"/>
  <c r="CO20" i="45" s="1"/>
  <c r="CK18" i="45"/>
  <c r="CK20" i="45" s="1"/>
  <c r="DC9" i="44"/>
  <c r="BS9" i="44"/>
  <c r="CB6" i="44"/>
  <c r="CB8" i="44" s="1"/>
  <c r="AJ8" i="44"/>
  <c r="M25" i="40" s="1"/>
  <c r="AN8" i="44"/>
  <c r="H25" i="40" s="1"/>
  <c r="AM8" i="44"/>
  <c r="G25" i="40" s="1"/>
  <c r="CA6" i="44"/>
  <c r="CA8" i="44" s="1"/>
  <c r="CQ9" i="44"/>
  <c r="BX6" i="44"/>
  <c r="BX8" i="44" s="1"/>
  <c r="BW6" i="44"/>
  <c r="BW8" i="44" s="1"/>
  <c r="CE6" i="44"/>
  <c r="CE8" i="44" s="1"/>
  <c r="BU6" i="44"/>
  <c r="BU8" i="44" s="1"/>
  <c r="CT6" i="44"/>
  <c r="CT8" i="44" s="1"/>
  <c r="CW9" i="44" s="1"/>
  <c r="CD6" i="44"/>
  <c r="CD8" i="44" s="1"/>
  <c r="AI8" i="44"/>
  <c r="I25" i="40" s="1"/>
  <c r="AY11" i="43"/>
  <c r="AY13" i="43" s="1"/>
  <c r="AU11" i="43"/>
  <c r="AU13" i="43" s="1"/>
  <c r="AZ11" i="43"/>
  <c r="AZ13" i="43" s="1"/>
  <c r="U20" i="40" s="1"/>
  <c r="AQ11" i="43"/>
  <c r="AQ13" i="43" s="1"/>
  <c r="AW11" i="43"/>
  <c r="AW13" i="43" s="1"/>
  <c r="AH9" i="43"/>
  <c r="J18" i="40" s="1"/>
  <c r="BO4" i="43"/>
  <c r="BO9" i="43" s="1"/>
  <c r="BS4" i="43"/>
  <c r="BS9" i="43" s="1"/>
  <c r="BR4" i="43"/>
  <c r="BR9" i="43" s="1"/>
  <c r="BQ4" i="43"/>
  <c r="BQ9" i="43" s="1"/>
  <c r="BN4" i="43"/>
  <c r="BN9" i="43" s="1"/>
  <c r="BP4" i="43"/>
  <c r="BP9" i="43" s="1"/>
  <c r="AX11" i="43"/>
  <c r="AX13" i="43" s="1"/>
  <c r="T20" i="40" s="1"/>
  <c r="AR11" i="43"/>
  <c r="AR13" i="43" s="1"/>
  <c r="Q20" i="40" s="1"/>
  <c r="BC11" i="43"/>
  <c r="BC13" i="43" s="1"/>
  <c r="AN9" i="43"/>
  <c r="H18" i="40" s="1"/>
  <c r="DC4" i="43"/>
  <c r="DC9" i="43" s="1"/>
  <c r="CY4" i="43"/>
  <c r="CY9" i="43" s="1"/>
  <c r="CX4" i="43"/>
  <c r="CX9" i="43" s="1"/>
  <c r="CZ4" i="43"/>
  <c r="CZ9" i="43" s="1"/>
  <c r="DA4" i="43"/>
  <c r="DA9" i="43" s="1"/>
  <c r="DB4" i="43"/>
  <c r="DB9" i="43" s="1"/>
  <c r="AK9" i="43"/>
  <c r="CH4" i="43"/>
  <c r="CH9" i="43" s="1"/>
  <c r="CF4" i="43"/>
  <c r="CF9" i="43" s="1"/>
  <c r="CJ4" i="43"/>
  <c r="CJ9" i="43" s="1"/>
  <c r="CI4" i="43"/>
  <c r="CI9" i="43" s="1"/>
  <c r="CK4" i="43"/>
  <c r="CK9" i="43" s="1"/>
  <c r="CG4" i="43"/>
  <c r="CG9" i="43" s="1"/>
  <c r="BA11" i="43"/>
  <c r="BA13" i="43" s="1"/>
  <c r="V20" i="40" s="1"/>
  <c r="CM4" i="43"/>
  <c r="CM9" i="43" s="1"/>
  <c r="AL9" i="43"/>
  <c r="CQ4" i="43"/>
  <c r="CQ9" i="43" s="1"/>
  <c r="CP4" i="43"/>
  <c r="CP9" i="43" s="1"/>
  <c r="CO4" i="43"/>
  <c r="CO9" i="43" s="1"/>
  <c r="CL4" i="43"/>
  <c r="CL9" i="43" s="1"/>
  <c r="CN4" i="43"/>
  <c r="CN9" i="43" s="1"/>
  <c r="BB11" i="43"/>
  <c r="BB13" i="43" s="1"/>
  <c r="W20" i="40" s="1"/>
  <c r="BH11" i="43"/>
  <c r="BH13" i="43" s="1"/>
  <c r="BG11" i="43"/>
  <c r="BG13" i="43" s="1"/>
  <c r="AA20" i="40" s="1"/>
  <c r="AV11" i="43"/>
  <c r="AV13" i="43" s="1"/>
  <c r="S20" i="40" s="1"/>
  <c r="AO9" i="43"/>
  <c r="O18" i="40" s="1"/>
  <c r="N18" i="40" s="1"/>
  <c r="N19" i="40" s="1"/>
  <c r="DF4" i="43"/>
  <c r="DF9" i="43" s="1"/>
  <c r="DH4" i="43"/>
  <c r="DH9" i="43" s="1"/>
  <c r="DE4" i="43"/>
  <c r="DE9" i="43" s="1"/>
  <c r="DD4" i="43"/>
  <c r="DD9" i="43" s="1"/>
  <c r="DG4" i="43"/>
  <c r="DG9" i="43" s="1"/>
  <c r="DI4" i="43"/>
  <c r="DI9" i="43" s="1"/>
  <c r="BE11" i="43"/>
  <c r="BE13" i="43" s="1"/>
  <c r="Y20" i="40" s="1"/>
  <c r="AP11" i="43"/>
  <c r="AP13" i="43" s="1"/>
  <c r="P20" i="40" s="1"/>
  <c r="BF11" i="43"/>
  <c r="BF13" i="43" s="1"/>
  <c r="Z20" i="40" s="1"/>
  <c r="AI9" i="43"/>
  <c r="I18" i="40" s="1"/>
  <c r="BV4" i="43"/>
  <c r="BV9" i="43" s="1"/>
  <c r="BW4" i="43"/>
  <c r="BW9" i="43" s="1"/>
  <c r="BY4" i="43"/>
  <c r="BY9" i="43" s="1"/>
  <c r="BT4" i="43"/>
  <c r="BT9" i="43" s="1"/>
  <c r="BX4" i="43"/>
  <c r="BX9" i="43" s="1"/>
  <c r="BU4" i="43"/>
  <c r="BU9" i="43" s="1"/>
  <c r="AM9" i="43"/>
  <c r="G18" i="40" s="1"/>
  <c r="CT4" i="43"/>
  <c r="CT9" i="43" s="1"/>
  <c r="CW4" i="43"/>
  <c r="CW9" i="43" s="1"/>
  <c r="CR4" i="43"/>
  <c r="CR9" i="43" s="1"/>
  <c r="CS4" i="43"/>
  <c r="CS9" i="43" s="1"/>
  <c r="CU4" i="43"/>
  <c r="CU9" i="43" s="1"/>
  <c r="CV4" i="43"/>
  <c r="CV9" i="43" s="1"/>
  <c r="AJ9" i="43"/>
  <c r="M18" i="40" s="1"/>
  <c r="CE4" i="43"/>
  <c r="CE9" i="43" s="1"/>
  <c r="BZ4" i="43"/>
  <c r="BZ9" i="43" s="1"/>
  <c r="CA4" i="43"/>
  <c r="CA9" i="43" s="1"/>
  <c r="CD4" i="43"/>
  <c r="CD9" i="43" s="1"/>
  <c r="CB4" i="43"/>
  <c r="CB9" i="43" s="1"/>
  <c r="CC4" i="43"/>
  <c r="CC9" i="43" s="1"/>
  <c r="BD11" i="43"/>
  <c r="BD13" i="43" s="1"/>
  <c r="X20" i="40" s="1"/>
  <c r="AS11" i="43"/>
  <c r="AS13" i="43" s="1"/>
  <c r="BI11" i="43"/>
  <c r="BI13" i="43" s="1"/>
  <c r="AB20" i="40" s="1"/>
  <c r="AT11" i="43"/>
  <c r="AT13" i="43" s="1"/>
  <c r="R20" i="40" s="1"/>
  <c r="BK4" i="43"/>
  <c r="AH34" i="42"/>
  <c r="AH36" i="42"/>
  <c r="BO3" i="42"/>
  <c r="BQ3" i="42"/>
  <c r="BR3" i="42"/>
  <c r="BS3" i="42"/>
  <c r="BP3" i="42"/>
  <c r="BN3" i="42"/>
  <c r="CA34" i="42"/>
  <c r="CA36" i="42"/>
  <c r="CE34" i="42"/>
  <c r="CE36" i="42"/>
  <c r="CF36" i="42"/>
  <c r="CF34" i="42"/>
  <c r="CK34" i="42"/>
  <c r="CK36" i="42"/>
  <c r="CX34" i="42"/>
  <c r="CX38" i="42" s="1"/>
  <c r="CR34" i="42"/>
  <c r="CR38" i="42" s="1"/>
  <c r="CL36" i="42"/>
  <c r="CL34" i="42"/>
  <c r="CM36" i="42"/>
  <c r="CM34" i="42"/>
  <c r="BK3" i="42"/>
  <c r="BZ36" i="42"/>
  <c r="BZ34" i="42"/>
  <c r="AJ41" i="42"/>
  <c r="CH34" i="42"/>
  <c r="CH36" i="42"/>
  <c r="AK38" i="42"/>
  <c r="DB34" i="42"/>
  <c r="DB38" i="42" s="1"/>
  <c r="CY34" i="42"/>
  <c r="CY38" i="42" s="1"/>
  <c r="CT34" i="42"/>
  <c r="CT38" i="42" s="1"/>
  <c r="CN34" i="42"/>
  <c r="CN36" i="42"/>
  <c r="AL41" i="42"/>
  <c r="CC36" i="42"/>
  <c r="CC34" i="42"/>
  <c r="CG34" i="42"/>
  <c r="CG36" i="42"/>
  <c r="CZ34" i="42"/>
  <c r="CZ38" i="42" s="1"/>
  <c r="DC34" i="42"/>
  <c r="DC38" i="42" s="1"/>
  <c r="CW34" i="42"/>
  <c r="CW38" i="42" s="1"/>
  <c r="CO36" i="42"/>
  <c r="CO34" i="42"/>
  <c r="CD36" i="42"/>
  <c r="CD34" i="42"/>
  <c r="CB36" i="42"/>
  <c r="CB34" i="42"/>
  <c r="CJ34" i="42"/>
  <c r="CJ36" i="42"/>
  <c r="CI34" i="42"/>
  <c r="CI36" i="42"/>
  <c r="AN38" i="42"/>
  <c r="H15" i="40" s="1"/>
  <c r="AN41" i="42"/>
  <c r="DA34" i="42"/>
  <c r="DA38" i="42" s="1"/>
  <c r="CU34" i="42"/>
  <c r="CU38" i="42" s="1"/>
  <c r="CP36" i="42"/>
  <c r="CP34" i="42"/>
  <c r="CQ36" i="42"/>
  <c r="CQ34" i="42"/>
  <c r="F33" i="40" l="1"/>
  <c r="O14" i="40"/>
  <c r="DI39" i="42"/>
  <c r="DI40" i="42" s="1"/>
  <c r="CQ10" i="44"/>
  <c r="BY28" i="48"/>
  <c r="L15" i="40"/>
  <c r="AI50" i="40"/>
  <c r="AI51" i="40" s="1"/>
  <c r="AH51" i="40"/>
  <c r="CE28" i="48"/>
  <c r="AH33" i="40"/>
  <c r="AI33" i="40" s="1"/>
  <c r="N30" i="40"/>
  <c r="O36" i="40"/>
  <c r="N35" i="40"/>
  <c r="N36" i="40" s="1"/>
  <c r="F29" i="40"/>
  <c r="AH28" i="40"/>
  <c r="AI28" i="40" s="1"/>
  <c r="AH44" i="40"/>
  <c r="I46" i="40"/>
  <c r="BS10" i="44"/>
  <c r="CW10" i="44"/>
  <c r="DI54" i="46"/>
  <c r="AM20" i="45"/>
  <c r="G30" i="40" s="1"/>
  <c r="L45" i="40"/>
  <c r="F45" i="40" s="1"/>
  <c r="BS28" i="48"/>
  <c r="CK28" i="48"/>
  <c r="CP38" i="42"/>
  <c r="CH38" i="42"/>
  <c r="CK38" i="42"/>
  <c r="CE38" i="42"/>
  <c r="AI20" i="45"/>
  <c r="I30" i="40" s="1"/>
  <c r="CA38" i="42"/>
  <c r="L38" i="40"/>
  <c r="F38" i="40" s="1"/>
  <c r="CE9" i="44"/>
  <c r="CE10" i="44" s="1"/>
  <c r="AK54" i="46"/>
  <c r="L18" i="40"/>
  <c r="AJ20" i="45"/>
  <c r="M30" i="40" s="1"/>
  <c r="M31" i="40" s="1"/>
  <c r="L25" i="40"/>
  <c r="F25" i="40" s="1"/>
  <c r="CQ38" i="42"/>
  <c r="CC38" i="42"/>
  <c r="CN38" i="42"/>
  <c r="BZ38" i="42"/>
  <c r="AH38" i="42"/>
  <c r="J15" i="40" s="1"/>
  <c r="J13" i="40"/>
  <c r="F13" i="40" s="1"/>
  <c r="AJ54" i="46"/>
  <c r="M35" i="40" s="1"/>
  <c r="AI54" i="46"/>
  <c r="I35" i="40" s="1"/>
  <c r="AN8" i="47"/>
  <c r="H40" i="40" s="1"/>
  <c r="CK10" i="44"/>
  <c r="CQ28" i="48"/>
  <c r="DC9" i="47"/>
  <c r="CL6" i="47"/>
  <c r="CL8" i="47" s="1"/>
  <c r="CQ6" i="47"/>
  <c r="CQ8" i="47" s="1"/>
  <c r="BZ6" i="47"/>
  <c r="BZ8" i="47" s="1"/>
  <c r="BP6" i="47"/>
  <c r="BP8" i="47" s="1"/>
  <c r="AH6" i="47"/>
  <c r="AH11" i="47" s="1"/>
  <c r="CJ6" i="47"/>
  <c r="CJ8" i="47" s="1"/>
  <c r="CH6" i="47"/>
  <c r="CH8" i="47" s="1"/>
  <c r="DE6" i="47"/>
  <c r="DE8" i="47" s="1"/>
  <c r="DG6" i="47"/>
  <c r="DG8" i="47" s="1"/>
  <c r="BU6" i="47"/>
  <c r="BU8" i="47" s="1"/>
  <c r="AI6" i="47"/>
  <c r="AI11" i="47" s="1"/>
  <c r="CP6" i="47"/>
  <c r="CP8" i="47" s="1"/>
  <c r="CB6" i="47"/>
  <c r="CB8" i="47" s="1"/>
  <c r="CD6" i="47"/>
  <c r="CD8" i="47" s="1"/>
  <c r="AM8" i="47"/>
  <c r="G40" i="40" s="1"/>
  <c r="BQ6" i="47"/>
  <c r="BQ8" i="47" s="1"/>
  <c r="BO6" i="47"/>
  <c r="BO8" i="47" s="1"/>
  <c r="CG6" i="47"/>
  <c r="CG8" i="47" s="1"/>
  <c r="CI6" i="47"/>
  <c r="CI8" i="47" s="1"/>
  <c r="DI6" i="47"/>
  <c r="DI8" i="47" s="1"/>
  <c r="BY6" i="47"/>
  <c r="BY8" i="47" s="1"/>
  <c r="CN6" i="47"/>
  <c r="CN8" i="47" s="1"/>
  <c r="AL6" i="47"/>
  <c r="AL11" i="47" s="1"/>
  <c r="AJ6" i="47"/>
  <c r="AJ11" i="47" s="1"/>
  <c r="CA6" i="47"/>
  <c r="CA8" i="47" s="1"/>
  <c r="BN6" i="47"/>
  <c r="BN8" i="47" s="1"/>
  <c r="BS6" i="47"/>
  <c r="BS8" i="47" s="1"/>
  <c r="CK6" i="47"/>
  <c r="CK8" i="47" s="1"/>
  <c r="DD6" i="47"/>
  <c r="DD8" i="47" s="1"/>
  <c r="AO6" i="47"/>
  <c r="AO8" i="47" s="1"/>
  <c r="O40" i="40" s="1"/>
  <c r="CW9" i="47"/>
  <c r="BT6" i="47"/>
  <c r="BT8" i="47" s="1"/>
  <c r="BV6" i="47"/>
  <c r="BV8" i="47" s="1"/>
  <c r="CO6" i="47"/>
  <c r="CO8" i="47" s="1"/>
  <c r="CM6" i="47"/>
  <c r="CM8" i="47" s="1"/>
  <c r="CC6" i="47"/>
  <c r="CC8" i="47" s="1"/>
  <c r="CE6" i="47"/>
  <c r="CE8" i="47" s="1"/>
  <c r="BR6" i="47"/>
  <c r="BR8" i="47" s="1"/>
  <c r="CF6" i="47"/>
  <c r="CF8" i="47" s="1"/>
  <c r="AK6" i="47"/>
  <c r="AK11" i="47" s="1"/>
  <c r="DH6" i="47"/>
  <c r="DH8" i="47" s="1"/>
  <c r="DF6" i="47"/>
  <c r="DF8" i="47" s="1"/>
  <c r="BX6" i="47"/>
  <c r="BX8" i="47" s="1"/>
  <c r="BW6" i="47"/>
  <c r="BW8" i="47" s="1"/>
  <c r="CU52" i="46"/>
  <c r="CU54" i="46" s="1"/>
  <c r="CW52" i="46"/>
  <c r="CW54" i="46" s="1"/>
  <c r="CL52" i="46"/>
  <c r="CL54" i="46" s="1"/>
  <c r="CE52" i="46"/>
  <c r="CE54" i="46" s="1"/>
  <c r="DG52" i="46"/>
  <c r="DG54" i="46" s="1"/>
  <c r="CO52" i="46"/>
  <c r="CO54" i="46" s="1"/>
  <c r="CT52" i="46"/>
  <c r="CT54" i="46" s="1"/>
  <c r="BT52" i="46"/>
  <c r="BT54" i="46" s="1"/>
  <c r="BQ52" i="46"/>
  <c r="BQ54" i="46" s="1"/>
  <c r="CM52" i="46"/>
  <c r="CM54" i="46" s="1"/>
  <c r="CR52" i="46"/>
  <c r="CR54" i="46" s="1"/>
  <c r="CQ52" i="46"/>
  <c r="CQ54" i="46" s="1"/>
  <c r="CF52" i="46"/>
  <c r="CF54" i="46" s="1"/>
  <c r="DB52" i="46"/>
  <c r="DB54" i="46" s="1"/>
  <c r="BU52" i="46"/>
  <c r="BU54" i="46" s="1"/>
  <c r="CY52" i="46"/>
  <c r="CY54" i="46" s="1"/>
  <c r="BW52" i="46"/>
  <c r="BW54" i="46" s="1"/>
  <c r="CA52" i="46"/>
  <c r="CA54" i="46" s="1"/>
  <c r="BS52" i="46"/>
  <c r="BS54" i="46" s="1"/>
  <c r="BN52" i="46"/>
  <c r="BN54" i="46" s="1"/>
  <c r="CX52" i="46"/>
  <c r="CX54" i="46" s="1"/>
  <c r="BY52" i="46"/>
  <c r="BY54" i="46" s="1"/>
  <c r="CK52" i="46"/>
  <c r="CK54" i="46" s="1"/>
  <c r="AM54" i="46"/>
  <c r="G35" i="40" s="1"/>
  <c r="DC52" i="46"/>
  <c r="DC54" i="46" s="1"/>
  <c r="CN52" i="46"/>
  <c r="CN54" i="46" s="1"/>
  <c r="BR52" i="46"/>
  <c r="BR54" i="46" s="1"/>
  <c r="BP52" i="46"/>
  <c r="BP54" i="46" s="1"/>
  <c r="DF52" i="46"/>
  <c r="DF54" i="46" s="1"/>
  <c r="BX52" i="46"/>
  <c r="BX54" i="46" s="1"/>
  <c r="AN54" i="46"/>
  <c r="H35" i="40" s="1"/>
  <c r="CV52" i="46"/>
  <c r="CV54" i="46" s="1"/>
  <c r="AL54" i="46"/>
  <c r="DA52" i="46"/>
  <c r="DA54" i="46" s="1"/>
  <c r="BO52" i="46"/>
  <c r="BO54" i="46" s="1"/>
  <c r="AH52" i="46"/>
  <c r="AH57" i="46" s="1"/>
  <c r="CK21" i="45"/>
  <c r="CK22" i="45" s="1"/>
  <c r="CE21" i="45"/>
  <c r="CQ21" i="45"/>
  <c r="CQ22" i="45" s="1"/>
  <c r="CT18" i="45"/>
  <c r="CT20" i="45" s="1"/>
  <c r="CU18" i="45"/>
  <c r="CU20" i="45" s="1"/>
  <c r="DC18" i="45"/>
  <c r="DC20" i="45" s="1"/>
  <c r="CW18" i="45"/>
  <c r="CW20" i="45" s="1"/>
  <c r="BS21" i="45"/>
  <c r="DD18" i="45"/>
  <c r="DD20" i="45" s="1"/>
  <c r="DE18" i="45"/>
  <c r="DE20" i="45" s="1"/>
  <c r="CX18" i="45"/>
  <c r="CX20" i="45" s="1"/>
  <c r="AH20" i="45"/>
  <c r="J30" i="40" s="1"/>
  <c r="DH18" i="45"/>
  <c r="DH20" i="45" s="1"/>
  <c r="BW18" i="45"/>
  <c r="BW20" i="45" s="1"/>
  <c r="BY18" i="45"/>
  <c r="BY20" i="45" s="1"/>
  <c r="DB18" i="45"/>
  <c r="DB20" i="45" s="1"/>
  <c r="CV18" i="45"/>
  <c r="CV20" i="45" s="1"/>
  <c r="AN20" i="45"/>
  <c r="H30" i="40" s="1"/>
  <c r="CR18" i="45"/>
  <c r="CR20" i="45" s="1"/>
  <c r="BY9" i="44"/>
  <c r="BY10" i="44" s="1"/>
  <c r="DC10" i="44"/>
  <c r="CA11" i="43"/>
  <c r="CA13" i="43" s="1"/>
  <c r="CV11" i="43"/>
  <c r="CV13" i="43" s="1"/>
  <c r="CW11" i="43"/>
  <c r="CW13" i="43" s="1"/>
  <c r="BX11" i="43"/>
  <c r="BX13" i="43" s="1"/>
  <c r="BV11" i="43"/>
  <c r="BV13" i="43" s="1"/>
  <c r="DI11" i="43"/>
  <c r="DI13" i="43" s="1"/>
  <c r="DH11" i="43"/>
  <c r="DH13" i="43" s="1"/>
  <c r="CL11" i="43"/>
  <c r="CL13" i="43" s="1"/>
  <c r="AL11" i="43"/>
  <c r="AL16" i="43" s="1"/>
  <c r="CG11" i="43"/>
  <c r="CG13" i="43" s="1"/>
  <c r="CF11" i="43"/>
  <c r="CF13" i="43" s="1"/>
  <c r="DA11" i="43"/>
  <c r="DA13" i="43" s="1"/>
  <c r="DC11" i="43"/>
  <c r="DC13" i="43" s="1"/>
  <c r="BP11" i="43"/>
  <c r="BP13" i="43" s="1"/>
  <c r="BS11" i="43"/>
  <c r="BS13" i="43" s="1"/>
  <c r="CC11" i="43"/>
  <c r="CC13" i="43" s="1"/>
  <c r="BZ11" i="43"/>
  <c r="BZ13" i="43" s="1"/>
  <c r="CU11" i="43"/>
  <c r="CU13" i="43" s="1"/>
  <c r="CT11" i="43"/>
  <c r="CT13" i="43" s="1"/>
  <c r="BT11" i="43"/>
  <c r="BT13" i="43" s="1"/>
  <c r="AI11" i="43"/>
  <c r="AI16" i="43" s="1"/>
  <c r="DG11" i="43"/>
  <c r="DG13" i="43" s="1"/>
  <c r="DF11" i="43"/>
  <c r="DF13" i="43" s="1"/>
  <c r="CO11" i="43"/>
  <c r="CO13" i="43" s="1"/>
  <c r="CM11" i="43"/>
  <c r="CM13" i="43" s="1"/>
  <c r="CK11" i="43"/>
  <c r="CK13" i="43" s="1"/>
  <c r="CH11" i="43"/>
  <c r="CH13" i="43" s="1"/>
  <c r="CZ11" i="43"/>
  <c r="CZ13" i="43" s="1"/>
  <c r="AN11" i="43"/>
  <c r="AN16" i="43" s="1"/>
  <c r="BN11" i="43"/>
  <c r="BN13" i="43" s="1"/>
  <c r="BO11" i="43"/>
  <c r="BO13" i="43" s="1"/>
  <c r="CB11" i="43"/>
  <c r="CB13" i="43" s="1"/>
  <c r="CE11" i="43"/>
  <c r="CE13" i="43" s="1"/>
  <c r="CS11" i="43"/>
  <c r="CS13" i="43" s="1"/>
  <c r="AM11" i="43"/>
  <c r="AM16" i="43" s="1"/>
  <c r="BY11" i="43"/>
  <c r="BY13" i="43" s="1"/>
  <c r="DD11" i="43"/>
  <c r="DD13" i="43" s="1"/>
  <c r="AO11" i="43"/>
  <c r="AO13" i="43" s="1"/>
  <c r="O20" i="40" s="1"/>
  <c r="N20" i="40" s="1"/>
  <c r="N21" i="40" s="1"/>
  <c r="CP11" i="43"/>
  <c r="CP13" i="43" s="1"/>
  <c r="CI11" i="43"/>
  <c r="CI13" i="43" s="1"/>
  <c r="AK11" i="43"/>
  <c r="AK16" i="43" s="1"/>
  <c r="CX11" i="43"/>
  <c r="CX13" i="43" s="1"/>
  <c r="BQ11" i="43"/>
  <c r="BQ13" i="43" s="1"/>
  <c r="AH11" i="43"/>
  <c r="AH16" i="43" s="1"/>
  <c r="CD11" i="43"/>
  <c r="CD13" i="43" s="1"/>
  <c r="AJ11" i="43"/>
  <c r="AJ16" i="43" s="1"/>
  <c r="CR11" i="43"/>
  <c r="CR13" i="43" s="1"/>
  <c r="BU11" i="43"/>
  <c r="BU13" i="43" s="1"/>
  <c r="BW11" i="43"/>
  <c r="BW13" i="43" s="1"/>
  <c r="DE11" i="43"/>
  <c r="DE13" i="43" s="1"/>
  <c r="CN11" i="43"/>
  <c r="CN13" i="43" s="1"/>
  <c r="CQ11" i="43"/>
  <c r="CQ13" i="43" s="1"/>
  <c r="CJ11" i="43"/>
  <c r="CJ13" i="43" s="1"/>
  <c r="DB11" i="43"/>
  <c r="DB13" i="43" s="1"/>
  <c r="CY11" i="43"/>
  <c r="CY13" i="43" s="1"/>
  <c r="BR11" i="43"/>
  <c r="BR13" i="43" s="1"/>
  <c r="DC39" i="42"/>
  <c r="DC40" i="42" s="1"/>
  <c r="BR36" i="42"/>
  <c r="BR34" i="42"/>
  <c r="CI38" i="42"/>
  <c r="CB38" i="42"/>
  <c r="CO38" i="42"/>
  <c r="CL38" i="42"/>
  <c r="BN36" i="42"/>
  <c r="BN34" i="42"/>
  <c r="BQ34" i="42"/>
  <c r="BQ36" i="42"/>
  <c r="BP36" i="42"/>
  <c r="BP34" i="42"/>
  <c r="BO34" i="42"/>
  <c r="BO36" i="42"/>
  <c r="CJ38" i="42"/>
  <c r="CD38" i="42"/>
  <c r="CG38" i="42"/>
  <c r="CM38" i="42"/>
  <c r="CW39" i="42"/>
  <c r="CW40" i="42" s="1"/>
  <c r="CF38" i="42"/>
  <c r="BS34" i="42"/>
  <c r="BS36" i="42"/>
  <c r="AH41" i="42"/>
  <c r="F15" i="40" l="1"/>
  <c r="AH13" i="40"/>
  <c r="AI13" i="40" s="1"/>
  <c r="F14" i="40"/>
  <c r="F16" i="40"/>
  <c r="AH15" i="40"/>
  <c r="AI15" i="40" s="1"/>
  <c r="F30" i="40"/>
  <c r="AH38" i="40"/>
  <c r="AI38" i="40" s="1"/>
  <c r="AH25" i="40"/>
  <c r="AI25" i="40" s="1"/>
  <c r="O41" i="40"/>
  <c r="N40" i="40"/>
  <c r="N41" i="40" s="1"/>
  <c r="AH45" i="40"/>
  <c r="AI45" i="40" s="1"/>
  <c r="AI46" i="40" s="1"/>
  <c r="F46" i="40"/>
  <c r="F18" i="40"/>
  <c r="CE22" i="45"/>
  <c r="L46" i="40"/>
  <c r="DI55" i="46"/>
  <c r="DI56" i="46" s="1"/>
  <c r="CK39" i="42"/>
  <c r="CK40" i="42" s="1"/>
  <c r="BP38" i="42"/>
  <c r="DC10" i="47"/>
  <c r="BN38" i="42"/>
  <c r="AJ13" i="43"/>
  <c r="M20" i="40" s="1"/>
  <c r="CW10" i="47"/>
  <c r="AN13" i="43"/>
  <c r="H20" i="40" s="1"/>
  <c r="BY21" i="45"/>
  <c r="BY22" i="45" s="1"/>
  <c r="L35" i="40"/>
  <c r="CE55" i="46"/>
  <c r="CE56" i="46" s="1"/>
  <c r="CE39" i="42"/>
  <c r="CE40" i="42" s="1"/>
  <c r="DC14" i="43"/>
  <c r="CE14" i="43"/>
  <c r="CE15" i="43" s="1"/>
  <c r="BR38" i="42"/>
  <c r="AK13" i="43"/>
  <c r="AH54" i="46"/>
  <c r="J35" i="40" s="1"/>
  <c r="CK55" i="46"/>
  <c r="CK56" i="46" s="1"/>
  <c r="AJ8" i="47"/>
  <c r="M40" i="40" s="1"/>
  <c r="M41" i="40" s="1"/>
  <c r="AH8" i="47"/>
  <c r="J40" i="40" s="1"/>
  <c r="BY9" i="47"/>
  <c r="CE9" i="47"/>
  <c r="CK9" i="47"/>
  <c r="CQ9" i="47"/>
  <c r="DI9" i="47"/>
  <c r="DI10" i="47" s="1"/>
  <c r="BS9" i="47"/>
  <c r="AK8" i="47"/>
  <c r="AL8" i="47"/>
  <c r="AI8" i="47"/>
  <c r="I40" i="40" s="1"/>
  <c r="BS55" i="46"/>
  <c r="CQ55" i="46"/>
  <c r="CQ56" i="46" s="1"/>
  <c r="CW55" i="46"/>
  <c r="CW56" i="46" s="1"/>
  <c r="DC55" i="46"/>
  <c r="DC56" i="46" s="1"/>
  <c r="BY55" i="46"/>
  <c r="BY56" i="46" s="1"/>
  <c r="CW21" i="45"/>
  <c r="CW22" i="45" s="1"/>
  <c r="DC21" i="45"/>
  <c r="DC22" i="45" s="1"/>
  <c r="DI21" i="45"/>
  <c r="DI22" i="45" s="1"/>
  <c r="BS22" i="45"/>
  <c r="BS14" i="43"/>
  <c r="DI14" i="43"/>
  <c r="DI15" i="43" s="1"/>
  <c r="CQ14" i="43"/>
  <c r="CK14" i="43"/>
  <c r="BY14" i="43"/>
  <c r="AH13" i="43"/>
  <c r="J20" i="40" s="1"/>
  <c r="CW14" i="43"/>
  <c r="AM13" i="43"/>
  <c r="G20" i="40" s="1"/>
  <c r="AI13" i="43"/>
  <c r="I20" i="40" s="1"/>
  <c r="AL13" i="43"/>
  <c r="CQ39" i="42"/>
  <c r="CQ40" i="42" s="1"/>
  <c r="BS38" i="42"/>
  <c r="BO38" i="42"/>
  <c r="BQ38" i="42"/>
  <c r="CK15" i="43" l="1"/>
  <c r="F35" i="40"/>
  <c r="AH35" i="40" s="1"/>
  <c r="AI35" i="40" s="1"/>
  <c r="F19" i="40"/>
  <c r="AH18" i="40"/>
  <c r="F31" i="40"/>
  <c r="AH30" i="40"/>
  <c r="AI30" i="40" s="1"/>
  <c r="AH46" i="40"/>
  <c r="BS10" i="47"/>
  <c r="BS39" i="42"/>
  <c r="BS40" i="42" s="1"/>
  <c r="BS15" i="43"/>
  <c r="L40" i="40"/>
  <c r="F40" i="40" s="1"/>
  <c r="CQ15" i="43"/>
  <c r="DC15" i="43"/>
  <c r="BS56" i="46"/>
  <c r="CE10" i="47"/>
  <c r="BY15" i="43"/>
  <c r="CW15" i="43"/>
  <c r="L20" i="40"/>
  <c r="F20" i="40" s="1"/>
  <c r="BY10" i="47"/>
  <c r="CQ10" i="47"/>
  <c r="CK10" i="47"/>
  <c r="AH19" i="40" l="1"/>
  <c r="AI18" i="40"/>
  <c r="AI19" i="40" s="1"/>
  <c r="AH40" i="40"/>
  <c r="AI40" i="40" s="1"/>
  <c r="AH20" i="40"/>
  <c r="AI20" i="40" s="1"/>
  <c r="AI21" i="40" s="1"/>
  <c r="F21" i="40"/>
  <c r="J3" i="41"/>
  <c r="K3" i="41" s="1"/>
  <c r="BL3" i="41" s="1"/>
  <c r="BN3" i="41"/>
  <c r="BO3" i="41"/>
  <c r="BP3" i="41"/>
  <c r="BQ3" i="41"/>
  <c r="BR3" i="41"/>
  <c r="BS3" i="41"/>
  <c r="BT3" i="41"/>
  <c r="BU3" i="41"/>
  <c r="BV3" i="41"/>
  <c r="BW3" i="41"/>
  <c r="BX3" i="41"/>
  <c r="BY3" i="41"/>
  <c r="BZ3" i="41"/>
  <c r="CA3" i="41"/>
  <c r="CB3" i="41"/>
  <c r="CC3" i="41"/>
  <c r="CD3" i="41"/>
  <c r="CE3" i="41"/>
  <c r="CF3" i="41"/>
  <c r="CG3" i="41"/>
  <c r="CH3" i="41"/>
  <c r="CI3" i="41"/>
  <c r="CJ3" i="41"/>
  <c r="CK3" i="41"/>
  <c r="CL3" i="41"/>
  <c r="CM3" i="41"/>
  <c r="CN3" i="41"/>
  <c r="CO3" i="41"/>
  <c r="CP3" i="41"/>
  <c r="CQ3" i="41"/>
  <c r="CR3" i="41"/>
  <c r="CS3" i="41"/>
  <c r="CT3" i="41"/>
  <c r="CU3" i="41"/>
  <c r="CV3" i="41"/>
  <c r="CW3" i="41"/>
  <c r="CX3" i="41"/>
  <c r="CY3" i="41"/>
  <c r="CZ3" i="41"/>
  <c r="DA3" i="41"/>
  <c r="DB3" i="41"/>
  <c r="DC3" i="41"/>
  <c r="DD3" i="41"/>
  <c r="DE3" i="41"/>
  <c r="DF3" i="41"/>
  <c r="DG3" i="41"/>
  <c r="DH3" i="41"/>
  <c r="DI3" i="41"/>
  <c r="J4" i="41"/>
  <c r="K4" i="41" s="1"/>
  <c r="BT4" i="41"/>
  <c r="BU4" i="41"/>
  <c r="BV4" i="41"/>
  <c r="BW4" i="41"/>
  <c r="BX4" i="41"/>
  <c r="BY4" i="41"/>
  <c r="BZ4" i="41"/>
  <c r="CA4" i="41"/>
  <c r="CB4" i="41"/>
  <c r="CC4" i="41"/>
  <c r="CD4" i="41"/>
  <c r="CE4" i="41"/>
  <c r="CF4" i="41"/>
  <c r="CG4" i="41"/>
  <c r="CH4" i="41"/>
  <c r="CI4" i="41"/>
  <c r="CJ4" i="41"/>
  <c r="CK4" i="41"/>
  <c r="CL4" i="41"/>
  <c r="CM4" i="41"/>
  <c r="CN4" i="41"/>
  <c r="CO4" i="41"/>
  <c r="CP4" i="41"/>
  <c r="CQ4" i="41"/>
  <c r="CR4" i="41"/>
  <c r="CS4" i="41"/>
  <c r="CT4" i="41"/>
  <c r="CU4" i="41"/>
  <c r="CV4" i="41"/>
  <c r="CW4" i="41"/>
  <c r="CX4" i="41"/>
  <c r="CY4" i="41"/>
  <c r="CZ4" i="41"/>
  <c r="DA4" i="41"/>
  <c r="DB4" i="41"/>
  <c r="DC4" i="41"/>
  <c r="DD4" i="41"/>
  <c r="DE4" i="41"/>
  <c r="DF4" i="41"/>
  <c r="DG4" i="41"/>
  <c r="DH4" i="41"/>
  <c r="DI4" i="41"/>
  <c r="J5" i="41"/>
  <c r="BT5" i="41"/>
  <c r="BU5" i="41"/>
  <c r="BV5" i="41"/>
  <c r="BW5" i="41"/>
  <c r="BX5" i="41"/>
  <c r="BY5" i="41"/>
  <c r="BZ5" i="41"/>
  <c r="CA5" i="41"/>
  <c r="CB5" i="41"/>
  <c r="CC5" i="41"/>
  <c r="CD5" i="41"/>
  <c r="CE5" i="41"/>
  <c r="CF5" i="41"/>
  <c r="CG5" i="41"/>
  <c r="CH5" i="41"/>
  <c r="CI5" i="41"/>
  <c r="CJ5" i="41"/>
  <c r="CK5" i="41"/>
  <c r="CL5" i="41"/>
  <c r="CM5" i="41"/>
  <c r="CN5" i="41"/>
  <c r="CO5" i="41"/>
  <c r="CP5" i="41"/>
  <c r="CQ5" i="41"/>
  <c r="CR5" i="41"/>
  <c r="CS5" i="41"/>
  <c r="CT5" i="41"/>
  <c r="CU5" i="41"/>
  <c r="CV5" i="41"/>
  <c r="CW5" i="41"/>
  <c r="CX5" i="41"/>
  <c r="CY5" i="41"/>
  <c r="CZ5" i="41"/>
  <c r="DA5" i="41"/>
  <c r="DB5" i="41"/>
  <c r="DC5" i="41"/>
  <c r="DD5" i="41"/>
  <c r="DE5" i="41"/>
  <c r="DF5" i="41"/>
  <c r="DG5" i="41"/>
  <c r="DH5" i="41"/>
  <c r="DI5" i="41"/>
  <c r="J6" i="41"/>
  <c r="BN6" i="41"/>
  <c r="BO6" i="41"/>
  <c r="BP6" i="41"/>
  <c r="BQ6" i="41"/>
  <c r="BR6" i="41"/>
  <c r="BS6" i="41"/>
  <c r="BZ6" i="41"/>
  <c r="CA6" i="41"/>
  <c r="CB6" i="41"/>
  <c r="CC6" i="41"/>
  <c r="CD6" i="41"/>
  <c r="CE6" i="41"/>
  <c r="CF6" i="41"/>
  <c r="CG6" i="41"/>
  <c r="CH6" i="41"/>
  <c r="CI6" i="41"/>
  <c r="CJ6" i="41"/>
  <c r="CK6" i="41"/>
  <c r="CL6" i="41"/>
  <c r="CM6" i="41"/>
  <c r="CN6" i="41"/>
  <c r="CO6" i="41"/>
  <c r="CP6" i="41"/>
  <c r="CQ6" i="41"/>
  <c r="CR6" i="41"/>
  <c r="CS6" i="41"/>
  <c r="CT6" i="41"/>
  <c r="CU6" i="41"/>
  <c r="CV6" i="41"/>
  <c r="CW6" i="41"/>
  <c r="CX6" i="41"/>
  <c r="CY6" i="41"/>
  <c r="CZ6" i="41"/>
  <c r="DA6" i="41"/>
  <c r="DB6" i="41"/>
  <c r="DC6" i="41"/>
  <c r="DD6" i="41"/>
  <c r="DE6" i="41"/>
  <c r="DF6" i="41"/>
  <c r="DG6" i="41"/>
  <c r="DH6" i="41"/>
  <c r="DI6" i="41"/>
  <c r="J7" i="41"/>
  <c r="K7" i="41"/>
  <c r="AK7" i="41"/>
  <c r="CI7" i="41" s="1"/>
  <c r="AL7" i="41"/>
  <c r="CL7" i="41" s="1"/>
  <c r="BN7" i="41"/>
  <c r="BO7" i="41"/>
  <c r="BP7" i="41"/>
  <c r="BQ7" i="41"/>
  <c r="BR7" i="41"/>
  <c r="BS7" i="41"/>
  <c r="BT7" i="41"/>
  <c r="BU7" i="41"/>
  <c r="BV7" i="41"/>
  <c r="BW7" i="41"/>
  <c r="BX7" i="41"/>
  <c r="BY7" i="41"/>
  <c r="BZ7" i="41"/>
  <c r="CA7" i="41"/>
  <c r="CB7" i="41"/>
  <c r="CC7" i="41"/>
  <c r="CD7" i="41"/>
  <c r="CE7" i="41"/>
  <c r="CR7" i="41"/>
  <c r="CS7" i="41"/>
  <c r="CT7" i="41"/>
  <c r="CU7" i="41"/>
  <c r="CV7" i="41"/>
  <c r="CW7" i="41"/>
  <c r="CX7" i="41"/>
  <c r="CY7" i="41"/>
  <c r="CZ7" i="41"/>
  <c r="DA7" i="41"/>
  <c r="DB7" i="41"/>
  <c r="DC7" i="41"/>
  <c r="DD7" i="41"/>
  <c r="DE7" i="41"/>
  <c r="DF7" i="41"/>
  <c r="DG7" i="41"/>
  <c r="DH7" i="41"/>
  <c r="DI7" i="41"/>
  <c r="J8" i="41"/>
  <c r="K8" i="41"/>
  <c r="AJ8" i="41" s="1"/>
  <c r="BN8" i="41"/>
  <c r="BO8" i="41"/>
  <c r="BP8" i="41"/>
  <c r="BQ8" i="41"/>
  <c r="BR8" i="41"/>
  <c r="BS8" i="41"/>
  <c r="BT8" i="41"/>
  <c r="BU8" i="41"/>
  <c r="BV8" i="41"/>
  <c r="BW8" i="41"/>
  <c r="BX8" i="41"/>
  <c r="BY8" i="41"/>
  <c r="CF8" i="41"/>
  <c r="CG8" i="41"/>
  <c r="CH8" i="41"/>
  <c r="CI8" i="41"/>
  <c r="CJ8" i="41"/>
  <c r="CK8" i="41"/>
  <c r="CL8" i="41"/>
  <c r="CM8" i="41"/>
  <c r="CN8" i="41"/>
  <c r="CO8" i="41"/>
  <c r="CP8" i="41"/>
  <c r="CQ8" i="41"/>
  <c r="CR8" i="41"/>
  <c r="CS8" i="41"/>
  <c r="CT8" i="41"/>
  <c r="CU8" i="41"/>
  <c r="CV8" i="41"/>
  <c r="CW8" i="41"/>
  <c r="CX8" i="41"/>
  <c r="CY8" i="41"/>
  <c r="CZ8" i="41"/>
  <c r="DA8" i="41"/>
  <c r="DB8" i="41"/>
  <c r="DC8" i="41"/>
  <c r="DD8" i="41"/>
  <c r="DE8" i="41"/>
  <c r="DF8" i="41"/>
  <c r="DG8" i="41"/>
  <c r="DH8" i="41"/>
  <c r="DI8" i="41"/>
  <c r="J9" i="41"/>
  <c r="M9" i="41" s="1"/>
  <c r="BN9" i="41"/>
  <c r="BO9" i="41"/>
  <c r="BP9" i="41"/>
  <c r="BQ9" i="41"/>
  <c r="BR9" i="41"/>
  <c r="BS9" i="41"/>
  <c r="BT9" i="41"/>
  <c r="BU9" i="41"/>
  <c r="BV9" i="41"/>
  <c r="BW9" i="41"/>
  <c r="BX9" i="41"/>
  <c r="BY9" i="41"/>
  <c r="BZ9" i="41"/>
  <c r="CA9" i="41"/>
  <c r="CB9" i="41"/>
  <c r="CC9" i="41"/>
  <c r="CD9" i="41"/>
  <c r="CE9" i="41"/>
  <c r="CF9" i="41"/>
  <c r="CG9" i="41"/>
  <c r="CH9" i="41"/>
  <c r="CI9" i="41"/>
  <c r="CJ9" i="41"/>
  <c r="CK9" i="41"/>
  <c r="CL9" i="41"/>
  <c r="CM9" i="41"/>
  <c r="CN9" i="41"/>
  <c r="CO9" i="41"/>
  <c r="CP9" i="41"/>
  <c r="CQ9" i="41"/>
  <c r="CR9" i="41"/>
  <c r="CS9" i="41"/>
  <c r="CT9" i="41"/>
  <c r="CU9" i="41"/>
  <c r="CV9" i="41"/>
  <c r="CW9" i="41"/>
  <c r="CX9" i="41"/>
  <c r="CY9" i="41"/>
  <c r="CZ9" i="41"/>
  <c r="DA9" i="41"/>
  <c r="DB9" i="41"/>
  <c r="DC9" i="41"/>
  <c r="DD9" i="41"/>
  <c r="DE9" i="41"/>
  <c r="DF9" i="41"/>
  <c r="DG9" i="41"/>
  <c r="DH9" i="41"/>
  <c r="DI9" i="41"/>
  <c r="J10" i="41"/>
  <c r="K10" i="41" s="1"/>
  <c r="BN10" i="41"/>
  <c r="BO10" i="41"/>
  <c r="BP10" i="41"/>
  <c r="BQ10" i="41"/>
  <c r="BR10" i="41"/>
  <c r="BS10" i="41"/>
  <c r="BT10" i="41"/>
  <c r="BU10" i="41"/>
  <c r="BV10" i="41"/>
  <c r="BW10" i="41"/>
  <c r="BX10" i="41"/>
  <c r="BY10" i="41"/>
  <c r="BZ10" i="41"/>
  <c r="CA10" i="41"/>
  <c r="CB10" i="41"/>
  <c r="CC10" i="41"/>
  <c r="CD10" i="41"/>
  <c r="CE10" i="41"/>
  <c r="CR10" i="41"/>
  <c r="CS10" i="41"/>
  <c r="CT10" i="41"/>
  <c r="CU10" i="41"/>
  <c r="CV10" i="41"/>
  <c r="CW10" i="41"/>
  <c r="CX10" i="41"/>
  <c r="CY10" i="41"/>
  <c r="CZ10" i="41"/>
  <c r="DA10" i="41"/>
  <c r="DB10" i="41"/>
  <c r="DC10" i="41"/>
  <c r="DD10" i="41"/>
  <c r="DE10" i="41"/>
  <c r="DF10" i="41"/>
  <c r="DG10" i="41"/>
  <c r="DH10" i="41"/>
  <c r="DI10" i="41"/>
  <c r="J11" i="41"/>
  <c r="J12" i="41"/>
  <c r="K12" i="41" s="1"/>
  <c r="BL12" i="41" s="1"/>
  <c r="BN12" i="41"/>
  <c r="BO12" i="41"/>
  <c r="BP12" i="41"/>
  <c r="BQ12" i="41"/>
  <c r="BR12" i="41"/>
  <c r="BS12" i="41"/>
  <c r="BT12" i="41"/>
  <c r="BU12" i="41"/>
  <c r="BV12" i="41"/>
  <c r="BW12" i="41"/>
  <c r="BX12" i="41"/>
  <c r="BY12" i="41"/>
  <c r="BZ12" i="41"/>
  <c r="CA12" i="41"/>
  <c r="CB12" i="41"/>
  <c r="CC12" i="41"/>
  <c r="CD12" i="41"/>
  <c r="CE12" i="41"/>
  <c r="CF12" i="41"/>
  <c r="CG12" i="41"/>
  <c r="CH12" i="41"/>
  <c r="CI12" i="41"/>
  <c r="CJ12" i="41"/>
  <c r="CK12" i="41"/>
  <c r="CL12" i="41"/>
  <c r="CM12" i="41"/>
  <c r="CN12" i="41"/>
  <c r="CO12" i="41"/>
  <c r="CP12" i="41"/>
  <c r="CQ12" i="41"/>
  <c r="CR12" i="41"/>
  <c r="CS12" i="41"/>
  <c r="CT12" i="41"/>
  <c r="CU12" i="41"/>
  <c r="CV12" i="41"/>
  <c r="CW12" i="41"/>
  <c r="CX12" i="41"/>
  <c r="CY12" i="41"/>
  <c r="CZ12" i="41"/>
  <c r="DA12" i="41"/>
  <c r="DB12" i="41"/>
  <c r="DC12" i="41"/>
  <c r="DD12" i="41"/>
  <c r="DE12" i="41"/>
  <c r="DF12" i="41"/>
  <c r="DG12" i="41"/>
  <c r="DH12" i="41"/>
  <c r="DI12" i="41"/>
  <c r="J13" i="41"/>
  <c r="K13" i="41"/>
  <c r="BL13" i="41" s="1"/>
  <c r="BN13" i="41"/>
  <c r="BO13" i="41"/>
  <c r="BP13" i="41"/>
  <c r="BQ13" i="41"/>
  <c r="BR13" i="41"/>
  <c r="BS13" i="41"/>
  <c r="BT13" i="41"/>
  <c r="BU13" i="41"/>
  <c r="BV13" i="41"/>
  <c r="BW13" i="41"/>
  <c r="BX13" i="41"/>
  <c r="BY13" i="41"/>
  <c r="BZ13" i="41"/>
  <c r="CA13" i="41"/>
  <c r="CB13" i="41"/>
  <c r="CC13" i="41"/>
  <c r="CD13" i="41"/>
  <c r="CE13" i="41"/>
  <c r="CF13" i="41"/>
  <c r="CG13" i="41"/>
  <c r="CH13" i="41"/>
  <c r="CI13" i="41"/>
  <c r="CJ13" i="41"/>
  <c r="CK13" i="41"/>
  <c r="CL13" i="41"/>
  <c r="CM13" i="41"/>
  <c r="CN13" i="41"/>
  <c r="CO13" i="41"/>
  <c r="CP13" i="41"/>
  <c r="CQ13" i="41"/>
  <c r="CR13" i="41"/>
  <c r="CS13" i="41"/>
  <c r="CT13" i="41"/>
  <c r="CU13" i="41"/>
  <c r="CV13" i="41"/>
  <c r="CW13" i="41"/>
  <c r="CX13" i="41"/>
  <c r="CY13" i="41"/>
  <c r="CZ13" i="41"/>
  <c r="DA13" i="41"/>
  <c r="DB13" i="41"/>
  <c r="DC13" i="41"/>
  <c r="DD13" i="41"/>
  <c r="DE13" i="41"/>
  <c r="DF13" i="41"/>
  <c r="DG13" i="41"/>
  <c r="DH13" i="41"/>
  <c r="DI13" i="41"/>
  <c r="J14" i="41"/>
  <c r="BN14" i="41"/>
  <c r="BO14" i="41"/>
  <c r="BP14" i="41"/>
  <c r="BQ14" i="41"/>
  <c r="BR14" i="41"/>
  <c r="BS14" i="41"/>
  <c r="BT14" i="41"/>
  <c r="BU14" i="41"/>
  <c r="BV14" i="41"/>
  <c r="BW14" i="41"/>
  <c r="BX14" i="41"/>
  <c r="BY14" i="41"/>
  <c r="BZ14" i="41"/>
  <c r="CA14" i="41"/>
  <c r="CB14" i="41"/>
  <c r="CC14" i="41"/>
  <c r="CD14" i="41"/>
  <c r="CE14" i="41"/>
  <c r="CF14" i="41"/>
  <c r="CG14" i="41"/>
  <c r="CH14" i="41"/>
  <c r="CI14" i="41"/>
  <c r="CJ14" i="41"/>
  <c r="CK14" i="41"/>
  <c r="CL14" i="41"/>
  <c r="CM14" i="41"/>
  <c r="CN14" i="41"/>
  <c r="CO14" i="41"/>
  <c r="CP14" i="41"/>
  <c r="CQ14" i="41"/>
  <c r="CR14" i="41"/>
  <c r="CS14" i="41"/>
  <c r="CT14" i="41"/>
  <c r="CU14" i="41"/>
  <c r="CV14" i="41"/>
  <c r="CW14" i="41"/>
  <c r="CX14" i="41"/>
  <c r="CY14" i="41"/>
  <c r="CZ14" i="41"/>
  <c r="DA14" i="41"/>
  <c r="DB14" i="41"/>
  <c r="DC14" i="41"/>
  <c r="DD14" i="41"/>
  <c r="DE14" i="41"/>
  <c r="DF14" i="41"/>
  <c r="DG14" i="41"/>
  <c r="DH14" i="41"/>
  <c r="DI14" i="41"/>
  <c r="J15" i="41"/>
  <c r="K15" i="41"/>
  <c r="BL15" i="41" s="1"/>
  <c r="BN15" i="41"/>
  <c r="BO15" i="41"/>
  <c r="BP15" i="41"/>
  <c r="BQ15" i="41"/>
  <c r="BR15" i="41"/>
  <c r="BS15" i="41"/>
  <c r="BT15" i="41"/>
  <c r="BU15" i="41"/>
  <c r="BV15" i="41"/>
  <c r="BW15" i="41"/>
  <c r="BX15" i="41"/>
  <c r="BY15" i="41"/>
  <c r="BZ15" i="41"/>
  <c r="CA15" i="41"/>
  <c r="CB15" i="41"/>
  <c r="CC15" i="41"/>
  <c r="CD15" i="41"/>
  <c r="CE15" i="41"/>
  <c r="CF15" i="41"/>
  <c r="CG15" i="41"/>
  <c r="CH15" i="41"/>
  <c r="CI15" i="41"/>
  <c r="CJ15" i="41"/>
  <c r="CK15" i="41"/>
  <c r="CL15" i="41"/>
  <c r="CM15" i="41"/>
  <c r="CN15" i="41"/>
  <c r="CO15" i="41"/>
  <c r="CP15" i="41"/>
  <c r="CQ15" i="41"/>
  <c r="CR15" i="41"/>
  <c r="CS15" i="41"/>
  <c r="CT15" i="41"/>
  <c r="CU15" i="41"/>
  <c r="CV15" i="41"/>
  <c r="CW15" i="41"/>
  <c r="CX15" i="41"/>
  <c r="CY15" i="41"/>
  <c r="CZ15" i="41"/>
  <c r="DA15" i="41"/>
  <c r="DB15" i="41"/>
  <c r="DC15" i="41"/>
  <c r="DD15" i="41"/>
  <c r="DE15" i="41"/>
  <c r="DF15" i="41"/>
  <c r="DG15" i="41"/>
  <c r="DH15" i="41"/>
  <c r="DI15" i="41"/>
  <c r="J16" i="41"/>
  <c r="K16" i="41" s="1"/>
  <c r="BL16" i="41" s="1"/>
  <c r="BN16" i="41"/>
  <c r="BO16" i="41"/>
  <c r="BP16" i="41"/>
  <c r="BQ16" i="41"/>
  <c r="BR16" i="41"/>
  <c r="BS16" i="41"/>
  <c r="BT16" i="41"/>
  <c r="BU16" i="41"/>
  <c r="BV16" i="41"/>
  <c r="BW16" i="41"/>
  <c r="BX16" i="41"/>
  <c r="BY16" i="41"/>
  <c r="BZ16" i="41"/>
  <c r="CA16" i="41"/>
  <c r="CB16" i="41"/>
  <c r="CC16" i="41"/>
  <c r="CD16" i="41"/>
  <c r="CE16" i="41"/>
  <c r="CF16" i="41"/>
  <c r="CG16" i="41"/>
  <c r="CH16" i="41"/>
  <c r="CI16" i="41"/>
  <c r="CJ16" i="41"/>
  <c r="CK16" i="41"/>
  <c r="CL16" i="41"/>
  <c r="CM16" i="41"/>
  <c r="CN16" i="41"/>
  <c r="CO16" i="41"/>
  <c r="CP16" i="41"/>
  <c r="CQ16" i="41"/>
  <c r="CR16" i="41"/>
  <c r="CS16" i="41"/>
  <c r="CT16" i="41"/>
  <c r="CU16" i="41"/>
  <c r="CV16" i="41"/>
  <c r="CW16" i="41"/>
  <c r="CX16" i="41"/>
  <c r="CY16" i="41"/>
  <c r="CZ16" i="41"/>
  <c r="DA16" i="41"/>
  <c r="DB16" i="41"/>
  <c r="DC16" i="41"/>
  <c r="DD16" i="41"/>
  <c r="DE16" i="41"/>
  <c r="DF16" i="41"/>
  <c r="DG16" i="41"/>
  <c r="DH16" i="41"/>
  <c r="DI16" i="41"/>
  <c r="J17" i="41"/>
  <c r="M17" i="41"/>
  <c r="BL17" i="41"/>
  <c r="BN17" i="41"/>
  <c r="BO17" i="41"/>
  <c r="BP17" i="41"/>
  <c r="BQ17" i="41"/>
  <c r="BR17" i="41"/>
  <c r="BS17" i="41"/>
  <c r="BT17" i="41"/>
  <c r="BU17" i="41"/>
  <c r="BV17" i="41"/>
  <c r="BW17" i="41"/>
  <c r="BX17" i="41"/>
  <c r="BY17" i="41"/>
  <c r="BZ17" i="41"/>
  <c r="CA17" i="41"/>
  <c r="CB17" i="41"/>
  <c r="CC17" i="41"/>
  <c r="CD17" i="41"/>
  <c r="CE17" i="41"/>
  <c r="CF17" i="41"/>
  <c r="CG17" i="41"/>
  <c r="CH17" i="41"/>
  <c r="CI17" i="41"/>
  <c r="CJ17" i="41"/>
  <c r="CK17" i="41"/>
  <c r="CL17" i="41"/>
  <c r="CM17" i="41"/>
  <c r="CN17" i="41"/>
  <c r="CO17" i="41"/>
  <c r="CP17" i="41"/>
  <c r="CQ17" i="41"/>
  <c r="CR17" i="41"/>
  <c r="CS17" i="41"/>
  <c r="CT17" i="41"/>
  <c r="CU17" i="41"/>
  <c r="CV17" i="41"/>
  <c r="CW17" i="41"/>
  <c r="CX17" i="41"/>
  <c r="CY17" i="41"/>
  <c r="CZ17" i="41"/>
  <c r="DA17" i="41"/>
  <c r="DB17" i="41"/>
  <c r="DC17" i="41"/>
  <c r="DD17" i="41"/>
  <c r="DE17" i="41"/>
  <c r="DF17" i="41"/>
  <c r="DG17" i="41"/>
  <c r="DH17" i="41"/>
  <c r="DI17" i="41"/>
  <c r="J18" i="41"/>
  <c r="BN18" i="41"/>
  <c r="BO18" i="41"/>
  <c r="BP18" i="41"/>
  <c r="BQ18" i="41"/>
  <c r="BR18" i="41"/>
  <c r="BS18" i="41"/>
  <c r="BT18" i="41"/>
  <c r="BU18" i="41"/>
  <c r="BV18" i="41"/>
  <c r="BW18" i="41"/>
  <c r="BX18" i="41"/>
  <c r="BY18" i="41"/>
  <c r="BZ18" i="41"/>
  <c r="CA18" i="41"/>
  <c r="CB18" i="41"/>
  <c r="CC18" i="41"/>
  <c r="CD18" i="41"/>
  <c r="CE18" i="41"/>
  <c r="CR18" i="41"/>
  <c r="CS18" i="41"/>
  <c r="CT18" i="41"/>
  <c r="CU18" i="41"/>
  <c r="CV18" i="41"/>
  <c r="CW18" i="41"/>
  <c r="CX18" i="41"/>
  <c r="CY18" i="41"/>
  <c r="CZ18" i="41"/>
  <c r="DA18" i="41"/>
  <c r="DB18" i="41"/>
  <c r="DC18" i="41"/>
  <c r="DD18" i="41"/>
  <c r="DE18" i="41"/>
  <c r="DF18" i="41"/>
  <c r="DG18" i="41"/>
  <c r="DH18" i="41"/>
  <c r="DI18" i="41"/>
  <c r="J19" i="41"/>
  <c r="K19" i="41" s="1"/>
  <c r="AN19" i="41" s="1"/>
  <c r="M19" i="41"/>
  <c r="BN19" i="41"/>
  <c r="BO19" i="41"/>
  <c r="BP19" i="41"/>
  <c r="BQ19" i="41"/>
  <c r="BR19" i="41"/>
  <c r="BS19" i="41"/>
  <c r="BT19" i="41"/>
  <c r="BU19" i="41"/>
  <c r="BV19" i="41"/>
  <c r="BW19" i="41"/>
  <c r="BX19" i="41"/>
  <c r="BY19" i="41"/>
  <c r="BZ19" i="41"/>
  <c r="CA19" i="41"/>
  <c r="CB19" i="41"/>
  <c r="CC19" i="41"/>
  <c r="CD19" i="41"/>
  <c r="CE19" i="41"/>
  <c r="CF19" i="41"/>
  <c r="CG19" i="41"/>
  <c r="CH19" i="41"/>
  <c r="CI19" i="41"/>
  <c r="CJ19" i="41"/>
  <c r="CK19" i="41"/>
  <c r="CL19" i="41"/>
  <c r="CM19" i="41"/>
  <c r="CN19" i="41"/>
  <c r="CO19" i="41"/>
  <c r="CP19" i="41"/>
  <c r="CQ19" i="41"/>
  <c r="DD19" i="41"/>
  <c r="DE19" i="41"/>
  <c r="DF19" i="41"/>
  <c r="DG19" i="41"/>
  <c r="DH19" i="41"/>
  <c r="DI19" i="41"/>
  <c r="J20" i="41"/>
  <c r="K20" i="41" s="1"/>
  <c r="AN20" i="41" s="1"/>
  <c r="DB20" i="41" s="1"/>
  <c r="BN20" i="41"/>
  <c r="BO20" i="41"/>
  <c r="BP20" i="41"/>
  <c r="BQ20" i="41"/>
  <c r="BR20" i="41"/>
  <c r="BS20" i="41"/>
  <c r="BT20" i="41"/>
  <c r="BU20" i="41"/>
  <c r="BV20" i="41"/>
  <c r="BW20" i="41"/>
  <c r="BX20" i="41"/>
  <c r="BY20" i="41"/>
  <c r="BZ20" i="41"/>
  <c r="CA20" i="41"/>
  <c r="CB20" i="41"/>
  <c r="CC20" i="41"/>
  <c r="CD20" i="41"/>
  <c r="CE20" i="41"/>
  <c r="CF20" i="41"/>
  <c r="CG20" i="41"/>
  <c r="CH20" i="41"/>
  <c r="CI20" i="41"/>
  <c r="CJ20" i="41"/>
  <c r="CK20" i="41"/>
  <c r="CL20" i="41"/>
  <c r="CM20" i="41"/>
  <c r="CN20" i="41"/>
  <c r="CO20" i="41"/>
  <c r="CP20" i="41"/>
  <c r="CQ20" i="41"/>
  <c r="DD20" i="41"/>
  <c r="DE20" i="41"/>
  <c r="DF20" i="41"/>
  <c r="DG20" i="41"/>
  <c r="DH20" i="41"/>
  <c r="DI20" i="41"/>
  <c r="J21" i="41"/>
  <c r="K21" i="41" s="1"/>
  <c r="M21" i="41"/>
  <c r="BN21" i="41"/>
  <c r="BO21" i="41"/>
  <c r="BP21" i="41"/>
  <c r="BQ21" i="41"/>
  <c r="BR21" i="41"/>
  <c r="BS21" i="41"/>
  <c r="BT21" i="41"/>
  <c r="BU21" i="41"/>
  <c r="BV21" i="41"/>
  <c r="BW21" i="41"/>
  <c r="BX21" i="41"/>
  <c r="BY21" i="41"/>
  <c r="BZ21" i="41"/>
  <c r="CA21" i="41"/>
  <c r="CB21" i="41"/>
  <c r="CC21" i="41"/>
  <c r="CD21" i="41"/>
  <c r="CE21" i="41"/>
  <c r="CF21" i="41"/>
  <c r="CG21" i="41"/>
  <c r="CH21" i="41"/>
  <c r="CI21" i="41"/>
  <c r="CJ21" i="41"/>
  <c r="CK21" i="41"/>
  <c r="CL21" i="41"/>
  <c r="CM21" i="41"/>
  <c r="CN21" i="41"/>
  <c r="CO21" i="41"/>
  <c r="CP21" i="41"/>
  <c r="CQ21" i="41"/>
  <c r="DD21" i="41"/>
  <c r="DE21" i="41"/>
  <c r="DF21" i="41"/>
  <c r="DG21" i="41"/>
  <c r="DH21" i="41"/>
  <c r="DI21" i="41"/>
  <c r="J22" i="41"/>
  <c r="J23" i="41"/>
  <c r="K23" i="41" s="1"/>
  <c r="AM23" i="41" s="1"/>
  <c r="CS23" i="41" s="1"/>
  <c r="BL23" i="41"/>
  <c r="BN23" i="41"/>
  <c r="BO23" i="41"/>
  <c r="BP23" i="41"/>
  <c r="BQ23" i="41"/>
  <c r="BR23" i="41"/>
  <c r="BS23" i="41"/>
  <c r="BT23" i="41"/>
  <c r="BU23" i="41"/>
  <c r="BV23" i="41"/>
  <c r="BW23" i="41"/>
  <c r="BX23" i="41"/>
  <c r="BY23" i="41"/>
  <c r="BZ23" i="41"/>
  <c r="CA23" i="41"/>
  <c r="CB23" i="41"/>
  <c r="CC23" i="41"/>
  <c r="CD23" i="41"/>
  <c r="CE23" i="41"/>
  <c r="CF23" i="41"/>
  <c r="CG23" i="41"/>
  <c r="CH23" i="41"/>
  <c r="CI23" i="41"/>
  <c r="CJ23" i="41"/>
  <c r="CK23" i="41"/>
  <c r="CL23" i="41"/>
  <c r="CM23" i="41"/>
  <c r="CN23" i="41"/>
  <c r="CO23" i="41"/>
  <c r="CP23" i="41"/>
  <c r="CQ23" i="41"/>
  <c r="CU23" i="41"/>
  <c r="CX23" i="41"/>
  <c r="CY23" i="41"/>
  <c r="CZ23" i="41"/>
  <c r="DA23" i="41"/>
  <c r="DB23" i="41"/>
  <c r="DC23" i="41"/>
  <c r="DD23" i="41"/>
  <c r="DE23" i="41"/>
  <c r="DF23" i="41"/>
  <c r="DG23" i="41"/>
  <c r="DH23" i="41"/>
  <c r="DI23" i="41"/>
  <c r="J24" i="41"/>
  <c r="K24" i="41"/>
  <c r="AM24" i="41" s="1"/>
  <c r="BN24" i="41"/>
  <c r="BO24" i="41"/>
  <c r="BP24" i="41"/>
  <c r="BQ24" i="41"/>
  <c r="BR24" i="41"/>
  <c r="BS24" i="41"/>
  <c r="BT24" i="41"/>
  <c r="BU24" i="41"/>
  <c r="BV24" i="41"/>
  <c r="BW24" i="41"/>
  <c r="BX24" i="41"/>
  <c r="BY24" i="41"/>
  <c r="BZ24" i="41"/>
  <c r="CA24" i="41"/>
  <c r="CB24" i="41"/>
  <c r="CC24" i="41"/>
  <c r="CD24" i="41"/>
  <c r="CE24" i="41"/>
  <c r="CF24" i="41"/>
  <c r="CG24" i="41"/>
  <c r="CH24" i="41"/>
  <c r="CI24" i="41"/>
  <c r="CJ24" i="41"/>
  <c r="CK24" i="41"/>
  <c r="CL24" i="41"/>
  <c r="CM24" i="41"/>
  <c r="CN24" i="41"/>
  <c r="CO24" i="41"/>
  <c r="CP24" i="41"/>
  <c r="CQ24" i="41"/>
  <c r="CX24" i="41"/>
  <c r="CY24" i="41"/>
  <c r="CZ24" i="41"/>
  <c r="DA24" i="41"/>
  <c r="DB24" i="41"/>
  <c r="DC24" i="41"/>
  <c r="DD24" i="41"/>
  <c r="DE24" i="41"/>
  <c r="DF24" i="41"/>
  <c r="DG24" i="41"/>
  <c r="DH24" i="41"/>
  <c r="DI24" i="41"/>
  <c r="J25" i="41"/>
  <c r="K25" i="41" s="1"/>
  <c r="AN25" i="41" s="1"/>
  <c r="DC25" i="41" s="1"/>
  <c r="BN25" i="41"/>
  <c r="BO25" i="41"/>
  <c r="BP25" i="41"/>
  <c r="BQ25" i="41"/>
  <c r="BR25" i="41"/>
  <c r="BS25" i="41"/>
  <c r="BT25" i="41"/>
  <c r="BU25" i="41"/>
  <c r="BV25" i="41"/>
  <c r="BW25" i="41"/>
  <c r="BX25" i="41"/>
  <c r="BY25" i="41"/>
  <c r="BZ25" i="41"/>
  <c r="CA25" i="41"/>
  <c r="CB25" i="41"/>
  <c r="CC25" i="41"/>
  <c r="CD25" i="41"/>
  <c r="CE25" i="41"/>
  <c r="CF25" i="41"/>
  <c r="CG25" i="41"/>
  <c r="CH25" i="41"/>
  <c r="CI25" i="41"/>
  <c r="CJ25" i="41"/>
  <c r="CK25" i="41"/>
  <c r="CL25" i="41"/>
  <c r="CM25" i="41"/>
  <c r="CN25" i="41"/>
  <c r="CO25" i="41"/>
  <c r="CP25" i="41"/>
  <c r="CQ25" i="41"/>
  <c r="CR25" i="41"/>
  <c r="CS25" i="41"/>
  <c r="CT25" i="41"/>
  <c r="CU25" i="41"/>
  <c r="CV25" i="41"/>
  <c r="CW25" i="41"/>
  <c r="DD25" i="41"/>
  <c r="DE25" i="41"/>
  <c r="DF25" i="41"/>
  <c r="DG25" i="41"/>
  <c r="DH25" i="41"/>
  <c r="DI25" i="41"/>
  <c r="J26" i="41"/>
  <c r="K26" i="41" s="1"/>
  <c r="BN26" i="41"/>
  <c r="BO26" i="41"/>
  <c r="BP26" i="41"/>
  <c r="BQ26" i="41"/>
  <c r="BR26" i="41"/>
  <c r="BS26" i="41"/>
  <c r="BT26" i="41"/>
  <c r="BU26" i="41"/>
  <c r="BV26" i="41"/>
  <c r="BW26" i="41"/>
  <c r="BX26" i="41"/>
  <c r="BY26" i="41"/>
  <c r="BZ26" i="41"/>
  <c r="CA26" i="41"/>
  <c r="CB26" i="41"/>
  <c r="CC26" i="41"/>
  <c r="CD26" i="41"/>
  <c r="CE26" i="41"/>
  <c r="CF26" i="41"/>
  <c r="CG26" i="41"/>
  <c r="CH26" i="41"/>
  <c r="CI26" i="41"/>
  <c r="CJ26" i="41"/>
  <c r="CK26" i="41"/>
  <c r="CL26" i="41"/>
  <c r="CM26" i="41"/>
  <c r="CN26" i="41"/>
  <c r="CO26" i="41"/>
  <c r="CP26" i="41"/>
  <c r="CQ26" i="41"/>
  <c r="DD26" i="41"/>
  <c r="DE26" i="41"/>
  <c r="DF26" i="41"/>
  <c r="DG26" i="41"/>
  <c r="DH26" i="41"/>
  <c r="DI26" i="41"/>
  <c r="J27" i="41"/>
  <c r="BL27" i="41"/>
  <c r="BN27" i="41"/>
  <c r="BO27" i="41"/>
  <c r="BP27" i="41"/>
  <c r="BQ27" i="41"/>
  <c r="BR27" i="41"/>
  <c r="BS27" i="41"/>
  <c r="BT27" i="41"/>
  <c r="BU27" i="41"/>
  <c r="BV27" i="41"/>
  <c r="BW27" i="41"/>
  <c r="BX27" i="41"/>
  <c r="BY27" i="41"/>
  <c r="BZ27" i="41"/>
  <c r="CA27" i="41"/>
  <c r="CB27" i="41"/>
  <c r="CC27" i="41"/>
  <c r="CD27" i="41"/>
  <c r="CE27" i="41"/>
  <c r="CF27" i="41"/>
  <c r="CG27" i="41"/>
  <c r="CH27" i="41"/>
  <c r="CI27" i="41"/>
  <c r="CJ27" i="41"/>
  <c r="CK27" i="41"/>
  <c r="CL27" i="41"/>
  <c r="CM27" i="41"/>
  <c r="CN27" i="41"/>
  <c r="CO27" i="41"/>
  <c r="CP27" i="41"/>
  <c r="CQ27" i="41"/>
  <c r="CR27" i="41"/>
  <c r="CS27" i="41"/>
  <c r="CT27" i="41"/>
  <c r="CU27" i="41"/>
  <c r="CV27" i="41"/>
  <c r="CW27" i="41"/>
  <c r="CX27" i="41"/>
  <c r="CY27" i="41"/>
  <c r="CZ27" i="41"/>
  <c r="DA27" i="41"/>
  <c r="DB27" i="41"/>
  <c r="DC27" i="41"/>
  <c r="DD27" i="41"/>
  <c r="DE27" i="41"/>
  <c r="DF27" i="41"/>
  <c r="DG27" i="41"/>
  <c r="DH27" i="41"/>
  <c r="DI27" i="41"/>
  <c r="BL28" i="41"/>
  <c r="BN28" i="41"/>
  <c r="BO28" i="41"/>
  <c r="BP28" i="41"/>
  <c r="BQ28" i="41"/>
  <c r="BR28" i="41"/>
  <c r="BS28" i="41"/>
  <c r="BT28" i="41"/>
  <c r="BU28" i="41"/>
  <c r="BV28" i="41"/>
  <c r="BW28" i="41"/>
  <c r="BX28" i="41"/>
  <c r="BY28" i="41"/>
  <c r="BZ28" i="41"/>
  <c r="CA28" i="41"/>
  <c r="CB28" i="41"/>
  <c r="CC28" i="41"/>
  <c r="CD28" i="41"/>
  <c r="CE28" i="41"/>
  <c r="CF28" i="41"/>
  <c r="CG28" i="41"/>
  <c r="CH28" i="41"/>
  <c r="CI28" i="41"/>
  <c r="CJ28" i="41"/>
  <c r="CK28" i="41"/>
  <c r="CL28" i="41"/>
  <c r="CM28" i="41"/>
  <c r="CN28" i="41"/>
  <c r="CO28" i="41"/>
  <c r="CP28" i="41"/>
  <c r="CQ28" i="41"/>
  <c r="CR28" i="41"/>
  <c r="CS28" i="41"/>
  <c r="CT28" i="41"/>
  <c r="CU28" i="41"/>
  <c r="CV28" i="41"/>
  <c r="CW28" i="41"/>
  <c r="CX28" i="41"/>
  <c r="CY28" i="41"/>
  <c r="CZ28" i="41"/>
  <c r="DA28" i="41"/>
  <c r="DB28" i="41"/>
  <c r="DC28" i="41"/>
  <c r="DD28" i="41"/>
  <c r="DE28" i="41"/>
  <c r="DF28" i="41"/>
  <c r="DG28" i="41"/>
  <c r="DH28" i="41"/>
  <c r="DI28" i="41"/>
  <c r="K30" i="41"/>
  <c r="BL30" i="41" s="1"/>
  <c r="M30" i="41"/>
  <c r="BN30" i="41"/>
  <c r="BO30" i="41"/>
  <c r="BP30" i="41"/>
  <c r="BQ30" i="41"/>
  <c r="BR30" i="41"/>
  <c r="BS30" i="41"/>
  <c r="BT30" i="41"/>
  <c r="BU30" i="41"/>
  <c r="BV30" i="41"/>
  <c r="BW30" i="41"/>
  <c r="BX30" i="41"/>
  <c r="BY30" i="41"/>
  <c r="BZ30" i="41"/>
  <c r="CA30" i="41"/>
  <c r="CB30" i="41"/>
  <c r="CC30" i="41"/>
  <c r="CD30" i="41"/>
  <c r="CE30" i="41"/>
  <c r="CF30" i="41"/>
  <c r="CG30" i="41"/>
  <c r="CH30" i="41"/>
  <c r="CI30" i="41"/>
  <c r="CJ30" i="41"/>
  <c r="CK30" i="41"/>
  <c r="CL30" i="41"/>
  <c r="CM30" i="41"/>
  <c r="CN30" i="41"/>
  <c r="CO30" i="41"/>
  <c r="CP30" i="41"/>
  <c r="CQ30" i="41"/>
  <c r="CR30" i="41"/>
  <c r="CS30" i="41"/>
  <c r="CT30" i="41"/>
  <c r="CU30" i="41"/>
  <c r="CV30" i="41"/>
  <c r="CW30" i="41"/>
  <c r="CX30" i="41"/>
  <c r="CY30" i="41"/>
  <c r="CZ30" i="41"/>
  <c r="DA30" i="41"/>
  <c r="DB30" i="41"/>
  <c r="DC30" i="41"/>
  <c r="DD30" i="41"/>
  <c r="DE30" i="41"/>
  <c r="DF30" i="41"/>
  <c r="DG30" i="41"/>
  <c r="DH30" i="41"/>
  <c r="DI30" i="41"/>
  <c r="J31" i="41"/>
  <c r="K31" i="41"/>
  <c r="BL31" i="41" s="1"/>
  <c r="M31" i="41"/>
  <c r="BN31" i="41"/>
  <c r="BO31" i="41"/>
  <c r="BP31" i="41"/>
  <c r="BQ31" i="41"/>
  <c r="BR31" i="41"/>
  <c r="BS31" i="41"/>
  <c r="BT31" i="41"/>
  <c r="BU31" i="41"/>
  <c r="BV31" i="41"/>
  <c r="BW31" i="41"/>
  <c r="BX31" i="41"/>
  <c r="BY31" i="41"/>
  <c r="BZ31" i="41"/>
  <c r="CA31" i="41"/>
  <c r="CB31" i="41"/>
  <c r="CC31" i="41"/>
  <c r="CD31" i="41"/>
  <c r="CE31" i="41"/>
  <c r="CF31" i="41"/>
  <c r="CG31" i="41"/>
  <c r="CH31" i="41"/>
  <c r="CI31" i="41"/>
  <c r="CJ31" i="41"/>
  <c r="CK31" i="41"/>
  <c r="CL31" i="41"/>
  <c r="CM31" i="41"/>
  <c r="CN31" i="41"/>
  <c r="CO31" i="41"/>
  <c r="CP31" i="41"/>
  <c r="CQ31" i="41"/>
  <c r="CR31" i="41"/>
  <c r="CS31" i="41"/>
  <c r="CT31" i="41"/>
  <c r="CU31" i="41"/>
  <c r="CV31" i="41"/>
  <c r="CW31" i="41"/>
  <c r="CX31" i="41"/>
  <c r="CY31" i="41"/>
  <c r="CZ31" i="41"/>
  <c r="DA31" i="41"/>
  <c r="DB31" i="41"/>
  <c r="DC31" i="41"/>
  <c r="DD31" i="41"/>
  <c r="DE31" i="41"/>
  <c r="DF31" i="41"/>
  <c r="DG31" i="41"/>
  <c r="DH31" i="41"/>
  <c r="DI31" i="41"/>
  <c r="G33" i="41"/>
  <c r="J33" i="41" s="1"/>
  <c r="K33" i="41" s="1"/>
  <c r="BL34" i="41"/>
  <c r="BN34" i="41"/>
  <c r="BO34" i="41"/>
  <c r="BP34" i="41"/>
  <c r="BQ34" i="41"/>
  <c r="BR34" i="41"/>
  <c r="BS34" i="41"/>
  <c r="BT34" i="41"/>
  <c r="BU34" i="41"/>
  <c r="BV34" i="41"/>
  <c r="BW34" i="41"/>
  <c r="BX34" i="41"/>
  <c r="BY34" i="41"/>
  <c r="BZ34" i="41"/>
  <c r="CA34" i="41"/>
  <c r="CB34" i="41"/>
  <c r="CC34" i="41"/>
  <c r="CD34" i="41"/>
  <c r="CE34" i="41"/>
  <c r="CF34" i="41"/>
  <c r="CG34" i="41"/>
  <c r="CH34" i="41"/>
  <c r="CI34" i="41"/>
  <c r="CJ34" i="41"/>
  <c r="CK34" i="41"/>
  <c r="CL34" i="41"/>
  <c r="CM34" i="41"/>
  <c r="CN34" i="41"/>
  <c r="CO34" i="41"/>
  <c r="CP34" i="41"/>
  <c r="CQ34" i="41"/>
  <c r="CR34" i="41"/>
  <c r="CS34" i="41"/>
  <c r="CT34" i="41"/>
  <c r="CU34" i="41"/>
  <c r="CV34" i="41"/>
  <c r="CW34" i="41"/>
  <c r="CX34" i="41"/>
  <c r="CY34" i="41"/>
  <c r="CZ34" i="41"/>
  <c r="DA34" i="41"/>
  <c r="DB34" i="41"/>
  <c r="DC34" i="41"/>
  <c r="DD34" i="41"/>
  <c r="DE34" i="41"/>
  <c r="DF34" i="41"/>
  <c r="DG34" i="41"/>
  <c r="DH34" i="41"/>
  <c r="DI34" i="41"/>
  <c r="BL35" i="41"/>
  <c r="BN35" i="41"/>
  <c r="BO35" i="41"/>
  <c r="BP35" i="41"/>
  <c r="BQ35" i="41"/>
  <c r="BR35" i="41"/>
  <c r="BS35" i="41"/>
  <c r="BT35" i="41"/>
  <c r="BU35" i="41"/>
  <c r="BV35" i="41"/>
  <c r="BW35" i="41"/>
  <c r="BX35" i="41"/>
  <c r="BY35" i="41"/>
  <c r="BZ35" i="41"/>
  <c r="CA35" i="41"/>
  <c r="CB35" i="41"/>
  <c r="CC35" i="41"/>
  <c r="CD35" i="41"/>
  <c r="CE35" i="41"/>
  <c r="CF35" i="41"/>
  <c r="CG35" i="41"/>
  <c r="CH35" i="41"/>
  <c r="CI35" i="41"/>
  <c r="CJ35" i="41"/>
  <c r="CK35" i="41"/>
  <c r="CL35" i="41"/>
  <c r="CM35" i="41"/>
  <c r="CN35" i="41"/>
  <c r="CO35" i="41"/>
  <c r="CP35" i="41"/>
  <c r="CQ35" i="41"/>
  <c r="CR35" i="41"/>
  <c r="CS35" i="41"/>
  <c r="CT35" i="41"/>
  <c r="CU35" i="41"/>
  <c r="CV35" i="41"/>
  <c r="CW35" i="41"/>
  <c r="CX35" i="41"/>
  <c r="CY35" i="41"/>
  <c r="CZ35" i="41"/>
  <c r="DA35" i="41"/>
  <c r="DB35" i="41"/>
  <c r="DC35" i="41"/>
  <c r="DD35" i="41"/>
  <c r="DE35" i="41"/>
  <c r="DF35" i="41"/>
  <c r="DG35" i="41"/>
  <c r="DH35" i="41"/>
  <c r="DI35" i="41"/>
  <c r="J36" i="41"/>
  <c r="K36" i="41" s="1"/>
  <c r="BN36" i="41"/>
  <c r="BO36" i="41"/>
  <c r="BP36" i="41"/>
  <c r="BQ36" i="41"/>
  <c r="BR36" i="41"/>
  <c r="BS36" i="41"/>
  <c r="BT36" i="41"/>
  <c r="BU36" i="41"/>
  <c r="BV36" i="41"/>
  <c r="BW36" i="41"/>
  <c r="BX36" i="41"/>
  <c r="BY36" i="41"/>
  <c r="BZ36" i="41"/>
  <c r="CA36" i="41"/>
  <c r="CB36" i="41"/>
  <c r="CC36" i="41"/>
  <c r="CD36" i="41"/>
  <c r="CE36" i="41"/>
  <c r="CF36" i="41"/>
  <c r="CG36" i="41"/>
  <c r="CH36" i="41"/>
  <c r="CI36" i="41"/>
  <c r="CJ36" i="41"/>
  <c r="CK36" i="41"/>
  <c r="CL36" i="41"/>
  <c r="CM36" i="41"/>
  <c r="CN36" i="41"/>
  <c r="CO36" i="41"/>
  <c r="CP36" i="41"/>
  <c r="CQ36" i="41"/>
  <c r="CR36" i="41"/>
  <c r="CS36" i="41"/>
  <c r="CT36" i="41"/>
  <c r="CU36" i="41"/>
  <c r="CV36" i="41"/>
  <c r="CW36" i="41"/>
  <c r="DD36" i="41"/>
  <c r="DE36" i="41"/>
  <c r="DF36" i="41"/>
  <c r="DG36" i="41"/>
  <c r="DH36" i="41"/>
  <c r="DI36" i="41"/>
  <c r="J37" i="41"/>
  <c r="K37" i="41" s="1"/>
  <c r="M37" i="41"/>
  <c r="BN37" i="41"/>
  <c r="BO37" i="41"/>
  <c r="BP37" i="41"/>
  <c r="BQ37" i="41"/>
  <c r="BR37" i="41"/>
  <c r="BS37" i="41"/>
  <c r="BT37" i="41"/>
  <c r="BU37" i="41"/>
  <c r="BV37" i="41"/>
  <c r="BW37" i="41"/>
  <c r="BX37" i="41"/>
  <c r="BY37" i="41"/>
  <c r="BZ37" i="41"/>
  <c r="CA37" i="41"/>
  <c r="CB37" i="41"/>
  <c r="CC37" i="41"/>
  <c r="CD37" i="41"/>
  <c r="CE37" i="41"/>
  <c r="CF37" i="41"/>
  <c r="CG37" i="41"/>
  <c r="CH37" i="41"/>
  <c r="CI37" i="41"/>
  <c r="CJ37" i="41"/>
  <c r="CK37" i="41"/>
  <c r="CL37" i="41"/>
  <c r="CM37" i="41"/>
  <c r="CN37" i="41"/>
  <c r="CO37" i="41"/>
  <c r="CP37" i="41"/>
  <c r="CQ37" i="41"/>
  <c r="CX37" i="41"/>
  <c r="CY37" i="41"/>
  <c r="CZ37" i="41"/>
  <c r="DA37" i="41"/>
  <c r="DB37" i="41"/>
  <c r="DC37" i="41"/>
  <c r="DD37" i="41"/>
  <c r="DE37" i="41"/>
  <c r="DF37" i="41"/>
  <c r="DG37" i="41"/>
  <c r="DH37" i="41"/>
  <c r="DI37" i="41"/>
  <c r="J38" i="41"/>
  <c r="K38" i="41"/>
  <c r="U38" i="41"/>
  <c r="BT38" i="41" s="1"/>
  <c r="V38" i="41"/>
  <c r="BO38" i="41" s="1"/>
  <c r="W38" i="41"/>
  <c r="BV38" i="41" s="1"/>
  <c r="X38" i="41"/>
  <c r="CC38" i="41" s="1"/>
  <c r="Y38" i="41"/>
  <c r="CP38" i="41" s="1"/>
  <c r="Z38" i="41"/>
  <c r="CQ38" i="41" s="1"/>
  <c r="AM38" i="41"/>
  <c r="AP38" i="41"/>
  <c r="AQ38" i="41"/>
  <c r="AR38" i="41"/>
  <c r="AS38" i="41"/>
  <c r="AT38" i="41"/>
  <c r="AU38" i="41"/>
  <c r="AV38" i="41"/>
  <c r="AW38" i="41"/>
  <c r="AW43" i="41" s="1"/>
  <c r="AX38" i="41"/>
  <c r="AX43" i="41" s="1"/>
  <c r="AY38" i="41"/>
  <c r="AY43" i="41" s="1"/>
  <c r="AY45" i="41" s="1"/>
  <c r="AZ38" i="41"/>
  <c r="AZ43" i="41" s="1"/>
  <c r="BA38" i="41"/>
  <c r="BA43" i="41" s="1"/>
  <c r="BB38" i="41"/>
  <c r="BB43" i="41" s="1"/>
  <c r="BC38" i="41"/>
  <c r="BC43" i="41" s="1"/>
  <c r="BC45" i="41" s="1"/>
  <c r="BD38" i="41"/>
  <c r="BD43" i="41" s="1"/>
  <c r="BE38" i="41"/>
  <c r="BE43" i="41" s="1"/>
  <c r="Y8" i="40" s="1"/>
  <c r="BF38" i="41"/>
  <c r="BF43" i="41" s="1"/>
  <c r="Z8" i="40" s="1"/>
  <c r="BG38" i="41"/>
  <c r="BG43" i="41" s="1"/>
  <c r="BH38" i="41"/>
  <c r="BH43" i="41" s="1"/>
  <c r="BH45" i="41" s="1"/>
  <c r="BH50" i="41" s="1"/>
  <c r="BI38" i="41"/>
  <c r="BI43" i="41" s="1"/>
  <c r="M39" i="41"/>
  <c r="AM39" i="41"/>
  <c r="CT39" i="41" s="1"/>
  <c r="AN39" i="41"/>
  <c r="CX39" i="41" s="1"/>
  <c r="BN39" i="41"/>
  <c r="BO39" i="41"/>
  <c r="BP39" i="41"/>
  <c r="BQ39" i="41"/>
  <c r="BR39" i="41"/>
  <c r="BS39" i="41"/>
  <c r="BT39" i="41"/>
  <c r="BU39" i="41"/>
  <c r="BV39" i="41"/>
  <c r="BW39" i="41"/>
  <c r="BX39" i="41"/>
  <c r="BY39" i="41"/>
  <c r="BZ39" i="41"/>
  <c r="CA39" i="41"/>
  <c r="CB39" i="41"/>
  <c r="CC39" i="41"/>
  <c r="CD39" i="41"/>
  <c r="CE39" i="41"/>
  <c r="CF39" i="41"/>
  <c r="CG39" i="41"/>
  <c r="CH39" i="41"/>
  <c r="CI39" i="41"/>
  <c r="CJ39" i="41"/>
  <c r="CK39" i="41"/>
  <c r="CL39" i="41"/>
  <c r="CM39" i="41"/>
  <c r="CN39" i="41"/>
  <c r="CO39" i="41"/>
  <c r="CP39" i="41"/>
  <c r="CQ39" i="41"/>
  <c r="DD39" i="41"/>
  <c r="DE39" i="41"/>
  <c r="DF39" i="41"/>
  <c r="DG39" i="41"/>
  <c r="DH39" i="41"/>
  <c r="DI39" i="41"/>
  <c r="BN40" i="41"/>
  <c r="BO40" i="41"/>
  <c r="BP40" i="41"/>
  <c r="BQ40" i="41"/>
  <c r="BR40" i="41"/>
  <c r="BS40" i="41"/>
  <c r="BT40" i="41"/>
  <c r="BU40" i="41"/>
  <c r="BV40" i="41"/>
  <c r="BW40" i="41"/>
  <c r="BX40" i="41"/>
  <c r="BY40" i="41"/>
  <c r="BZ40" i="41"/>
  <c r="CA40" i="41"/>
  <c r="CB40" i="41"/>
  <c r="CC40" i="41"/>
  <c r="CD40" i="41"/>
  <c r="CE40" i="41"/>
  <c r="CF40" i="41"/>
  <c r="CG40" i="41"/>
  <c r="CH40" i="41"/>
  <c r="CI40" i="41"/>
  <c r="CJ40" i="41"/>
  <c r="CK40" i="41"/>
  <c r="CL40" i="41"/>
  <c r="CM40" i="41"/>
  <c r="CN40" i="41"/>
  <c r="CO40" i="41"/>
  <c r="CP40" i="41"/>
  <c r="CQ40" i="41"/>
  <c r="CR40" i="41"/>
  <c r="CS40" i="41"/>
  <c r="CT40" i="41"/>
  <c r="CU40" i="41"/>
  <c r="CV40" i="41"/>
  <c r="CW40" i="41"/>
  <c r="CX40" i="41"/>
  <c r="CY40" i="41"/>
  <c r="CZ40" i="41"/>
  <c r="DA40" i="41"/>
  <c r="DB40" i="41"/>
  <c r="DC40" i="41"/>
  <c r="DD40" i="41"/>
  <c r="DE40" i="41"/>
  <c r="DF40" i="41"/>
  <c r="DG40" i="41"/>
  <c r="DH40" i="41"/>
  <c r="DI40" i="41"/>
  <c r="BN41" i="41"/>
  <c r="BO41" i="41"/>
  <c r="BP41" i="41"/>
  <c r="BQ41" i="41"/>
  <c r="BR41" i="41"/>
  <c r="BS41" i="41"/>
  <c r="BT41" i="41"/>
  <c r="BU41" i="41"/>
  <c r="BV41" i="41"/>
  <c r="BW41" i="41"/>
  <c r="BX41" i="41"/>
  <c r="BY41" i="41"/>
  <c r="BZ41" i="41"/>
  <c r="CA41" i="41"/>
  <c r="CB41" i="41"/>
  <c r="CC41" i="41"/>
  <c r="CD41" i="41"/>
  <c r="CE41" i="41"/>
  <c r="CF41" i="41"/>
  <c r="CG41" i="41"/>
  <c r="CH41" i="41"/>
  <c r="CI41" i="41"/>
  <c r="CJ41" i="41"/>
  <c r="CK41" i="41"/>
  <c r="CL41" i="41"/>
  <c r="CM41" i="41"/>
  <c r="CN41" i="41"/>
  <c r="CO41" i="41"/>
  <c r="CP41" i="41"/>
  <c r="CQ41" i="41"/>
  <c r="CR41" i="41"/>
  <c r="CS41" i="41"/>
  <c r="CT41" i="41"/>
  <c r="CU41" i="41"/>
  <c r="CV41" i="41"/>
  <c r="CW41" i="41"/>
  <c r="CX41" i="41"/>
  <c r="CY41" i="41"/>
  <c r="CZ41" i="41"/>
  <c r="DA41" i="41"/>
  <c r="DB41" i="41"/>
  <c r="DC41" i="41"/>
  <c r="DD41" i="41"/>
  <c r="DE41" i="41"/>
  <c r="DF41" i="41"/>
  <c r="DG41" i="41"/>
  <c r="DH41" i="41"/>
  <c r="DI41" i="41"/>
  <c r="I42" i="41"/>
  <c r="E8" i="40" s="1"/>
  <c r="BJ43" i="41"/>
  <c r="CG7" i="41" l="1"/>
  <c r="DE38" i="41"/>
  <c r="CM38" i="41"/>
  <c r="Z56" i="40"/>
  <c r="Z58" i="40" s="1"/>
  <c r="Z9" i="40"/>
  <c r="Y56" i="40"/>
  <c r="Y58" i="40" s="1"/>
  <c r="Y9" i="40"/>
  <c r="AH21" i="40"/>
  <c r="BR38" i="41"/>
  <c r="BU38" i="41"/>
  <c r="CW38" i="41"/>
  <c r="AN36" i="41"/>
  <c r="CZ36" i="41" s="1"/>
  <c r="AN26" i="41"/>
  <c r="DA26" i="41" s="1"/>
  <c r="AM26" i="41"/>
  <c r="CS26" i="41" s="1"/>
  <c r="M7" i="41"/>
  <c r="BJ45" i="41"/>
  <c r="BJ50" i="41" s="1"/>
  <c r="AF8" i="40"/>
  <c r="BX38" i="41"/>
  <c r="DA25" i="41"/>
  <c r="M15" i="41"/>
  <c r="M13" i="41"/>
  <c r="E56" i="40"/>
  <c r="G42" i="41"/>
  <c r="D8" i="40" s="1"/>
  <c r="DH38" i="41"/>
  <c r="BN38" i="41"/>
  <c r="DB38" i="41"/>
  <c r="M26" i="41"/>
  <c r="BL25" i="41"/>
  <c r="K14" i="41"/>
  <c r="BL14" i="41" s="1"/>
  <c r="K5" i="41"/>
  <c r="AH5" i="41" s="1"/>
  <c r="CZ39" i="41"/>
  <c r="CB38" i="41"/>
  <c r="BP38" i="41"/>
  <c r="W8" i="40"/>
  <c r="BB45" i="41"/>
  <c r="BB50" i="41" s="1"/>
  <c r="DI38" i="41"/>
  <c r="CG38" i="41"/>
  <c r="BY38" i="41"/>
  <c r="CY38" i="41"/>
  <c r="CO38" i="41"/>
  <c r="CE38" i="41"/>
  <c r="BQ38" i="41"/>
  <c r="DC38" i="41"/>
  <c r="CS38" i="41"/>
  <c r="CK38" i="41"/>
  <c r="CA38" i="41"/>
  <c r="BS38" i="41"/>
  <c r="BL38" i="41"/>
  <c r="AB8" i="40"/>
  <c r="BI45" i="41"/>
  <c r="BI50" i="41" s="1"/>
  <c r="V8" i="40"/>
  <c r="BA45" i="41"/>
  <c r="AW45" i="41"/>
  <c r="AW50" i="41" s="1"/>
  <c r="AA8" i="40"/>
  <c r="BG45" i="41"/>
  <c r="BC47" i="41"/>
  <c r="BC50" i="41"/>
  <c r="AY47" i="41"/>
  <c r="AY50" i="41"/>
  <c r="DD38" i="41"/>
  <c r="BZ38" i="41"/>
  <c r="CX38" i="41"/>
  <c r="CR38" i="41"/>
  <c r="CN38" i="41"/>
  <c r="CJ38" i="41"/>
  <c r="CD38" i="41"/>
  <c r="BH47" i="41"/>
  <c r="CY39" i="41"/>
  <c r="CZ38" i="41"/>
  <c r="CV38" i="41"/>
  <c r="CL38" i="41"/>
  <c r="CF38" i="41"/>
  <c r="CN7" i="41"/>
  <c r="BL7" i="41"/>
  <c r="CO7" i="41"/>
  <c r="BE45" i="41"/>
  <c r="BD45" i="41"/>
  <c r="X8" i="40"/>
  <c r="AZ45" i="41"/>
  <c r="U8" i="40"/>
  <c r="DA39" i="41"/>
  <c r="AX45" i="41"/>
  <c r="AX50" i="41" s="1"/>
  <c r="T8" i="40"/>
  <c r="CU39" i="41"/>
  <c r="BL39" i="41"/>
  <c r="CS39" i="41"/>
  <c r="CM7" i="41"/>
  <c r="DC39" i="41"/>
  <c r="CW39" i="41"/>
  <c r="CQ7" i="41"/>
  <c r="CK7" i="41"/>
  <c r="CS24" i="41"/>
  <c r="CW24" i="41"/>
  <c r="CU24" i="41"/>
  <c r="CV24" i="41"/>
  <c r="CR24" i="41"/>
  <c r="K18" i="41"/>
  <c r="M18" i="41" s="1"/>
  <c r="J42" i="41"/>
  <c r="CB8" i="41"/>
  <c r="CC8" i="41"/>
  <c r="BZ8" i="41"/>
  <c r="CD8" i="41"/>
  <c r="CA8" i="41"/>
  <c r="CE8" i="41"/>
  <c r="BF45" i="41"/>
  <c r="BF50" i="41" s="1"/>
  <c r="DA38" i="41"/>
  <c r="AM37" i="41"/>
  <c r="BL37" i="41" s="1"/>
  <c r="DA36" i="41"/>
  <c r="CX36" i="41"/>
  <c r="DB36" i="41"/>
  <c r="CY36" i="41"/>
  <c r="DC36" i="41"/>
  <c r="M33" i="41"/>
  <c r="CT24" i="41"/>
  <c r="AK33" i="41"/>
  <c r="AO33" i="41"/>
  <c r="AH33" i="41"/>
  <c r="AL33" i="41"/>
  <c r="AI33" i="41"/>
  <c r="AM33" i="41"/>
  <c r="AL10" i="41"/>
  <c r="M10" i="41"/>
  <c r="AK10" i="41"/>
  <c r="BJ47" i="41"/>
  <c r="AF10" i="40" s="1"/>
  <c r="AN33" i="41"/>
  <c r="DA20" i="41"/>
  <c r="CY20" i="41"/>
  <c r="DC20" i="41"/>
  <c r="CX20" i="41"/>
  <c r="CZ20" i="41"/>
  <c r="CY19" i="41"/>
  <c r="DC19" i="41"/>
  <c r="DA19" i="41"/>
  <c r="CX19" i="41"/>
  <c r="CZ19" i="41"/>
  <c r="DB19" i="41"/>
  <c r="BW38" i="41"/>
  <c r="CI38" i="41"/>
  <c r="CU38" i="41"/>
  <c r="DG38" i="41"/>
  <c r="AJ33" i="41"/>
  <c r="K22" i="41"/>
  <c r="M22" i="41" s="1"/>
  <c r="CV39" i="41"/>
  <c r="CR39" i="41"/>
  <c r="M36" i="41"/>
  <c r="M25" i="41"/>
  <c r="BL24" i="41"/>
  <c r="M24" i="41"/>
  <c r="M23" i="41"/>
  <c r="AM21" i="41"/>
  <c r="M20" i="41"/>
  <c r="CZ25" i="41"/>
  <c r="CX25" i="41"/>
  <c r="DB25" i="41"/>
  <c r="CT23" i="41"/>
  <c r="CR23" i="41"/>
  <c r="CV23" i="41"/>
  <c r="AM20" i="41"/>
  <c r="BL20" i="41" s="1"/>
  <c r="M16" i="41"/>
  <c r="BP5" i="41"/>
  <c r="BQ5" i="41"/>
  <c r="BN5" i="41"/>
  <c r="BR5" i="41"/>
  <c r="BO5" i="41"/>
  <c r="BS5" i="41"/>
  <c r="M4" i="41"/>
  <c r="AH4" i="41"/>
  <c r="DB39" i="41"/>
  <c r="DF38" i="41"/>
  <c r="CT38" i="41"/>
  <c r="CH38" i="41"/>
  <c r="CY25" i="41"/>
  <c r="CW23" i="41"/>
  <c r="AN21" i="41"/>
  <c r="AM19" i="41"/>
  <c r="BL19" i="41" s="1"/>
  <c r="M6" i="41"/>
  <c r="M12" i="41"/>
  <c r="K11" i="41"/>
  <c r="M11" i="41" s="1"/>
  <c r="M8" i="41"/>
  <c r="CJ7" i="41"/>
  <c r="CF7" i="41"/>
  <c r="K6" i="41"/>
  <c r="M3" i="41"/>
  <c r="BL8" i="41"/>
  <c r="CP7" i="41"/>
  <c r="CH7" i="41"/>
  <c r="BL5" i="41"/>
  <c r="U56" i="40" l="1"/>
  <c r="U58" i="40" s="1"/>
  <c r="U9" i="40"/>
  <c r="CZ26" i="41"/>
  <c r="DC26" i="41"/>
  <c r="DB26" i="41"/>
  <c r="T56" i="40"/>
  <c r="T58" i="40" s="1"/>
  <c r="T9" i="40"/>
  <c r="V56" i="40"/>
  <c r="V58" i="40" s="1"/>
  <c r="V9" i="40"/>
  <c r="AB56" i="40"/>
  <c r="AB58" i="40" s="1"/>
  <c r="AB9" i="40"/>
  <c r="CX26" i="41"/>
  <c r="X56" i="40"/>
  <c r="X58" i="40" s="1"/>
  <c r="X9" i="40"/>
  <c r="AA56" i="40"/>
  <c r="AA58" i="40" s="1"/>
  <c r="AA9" i="40"/>
  <c r="W56" i="40"/>
  <c r="W58" i="40" s="1"/>
  <c r="W9" i="40"/>
  <c r="BB47" i="41"/>
  <c r="W10" i="40" s="1"/>
  <c r="W11" i="40" s="1"/>
  <c r="CR26" i="41"/>
  <c r="CY26" i="41"/>
  <c r="CT26" i="41"/>
  <c r="M5" i="41"/>
  <c r="D9" i="40"/>
  <c r="D56" i="40"/>
  <c r="AC8" i="40"/>
  <c r="AC56" i="40" s="1"/>
  <c r="AC58" i="40" s="1"/>
  <c r="AF56" i="40"/>
  <c r="BL26" i="41"/>
  <c r="CW26" i="41"/>
  <c r="AC10" i="40"/>
  <c r="AF11" i="40"/>
  <c r="AC11" i="40" s="1"/>
  <c r="AF60" i="40"/>
  <c r="CU26" i="41"/>
  <c r="BI47" i="41"/>
  <c r="AB10" i="40" s="1"/>
  <c r="AB60" i="40" s="1"/>
  <c r="AB62" i="40" s="1"/>
  <c r="CV26" i="41"/>
  <c r="M14" i="41"/>
  <c r="BL36" i="41"/>
  <c r="BL10" i="41"/>
  <c r="AX47" i="41"/>
  <c r="T10" i="40" s="1"/>
  <c r="T60" i="40" s="1"/>
  <c r="T62" i="40" s="1"/>
  <c r="BL33" i="41"/>
  <c r="BG47" i="41"/>
  <c r="AA10" i="40" s="1"/>
  <c r="BG50" i="41"/>
  <c r="BA47" i="41"/>
  <c r="V10" i="40" s="1"/>
  <c r="BA50" i="41"/>
  <c r="AW47" i="41"/>
  <c r="AZ50" i="41"/>
  <c r="AZ47" i="41"/>
  <c r="U10" i="40" s="1"/>
  <c r="BD47" i="41"/>
  <c r="X10" i="40" s="1"/>
  <c r="BD50" i="41"/>
  <c r="BE47" i="41"/>
  <c r="Y10" i="40" s="1"/>
  <c r="BE50" i="41"/>
  <c r="M42" i="41"/>
  <c r="BQ4" i="41"/>
  <c r="BN4" i="41"/>
  <c r="BR4" i="41"/>
  <c r="BO4" i="41"/>
  <c r="BS4" i="41"/>
  <c r="BP4" i="41"/>
  <c r="CU21" i="41"/>
  <c r="CS21" i="41"/>
  <c r="CW21" i="41"/>
  <c r="CT21" i="41"/>
  <c r="CV21" i="41"/>
  <c r="CR21" i="41"/>
  <c r="AJ22" i="41"/>
  <c r="AN22" i="41"/>
  <c r="AH22" i="41"/>
  <c r="AL22" i="41"/>
  <c r="AO22" i="41"/>
  <c r="AI22" i="41"/>
  <c r="AK22" i="41"/>
  <c r="AM22" i="41"/>
  <c r="CN10" i="41"/>
  <c r="CO10" i="41"/>
  <c r="CL10" i="41"/>
  <c r="CP10" i="41"/>
  <c r="CM10" i="41"/>
  <c r="CQ10" i="41"/>
  <c r="CN33" i="41"/>
  <c r="CO33" i="41"/>
  <c r="CL33" i="41"/>
  <c r="CP33" i="41"/>
  <c r="CM33" i="41"/>
  <c r="CQ33" i="41"/>
  <c r="AK18" i="41"/>
  <c r="AL18" i="41"/>
  <c r="AI6" i="41"/>
  <c r="BL6" i="41" s="1"/>
  <c r="K42" i="41"/>
  <c r="AK11" i="41"/>
  <c r="AO11" i="41"/>
  <c r="AS11" i="41"/>
  <c r="AS43" i="41" s="1"/>
  <c r="AH11" i="41"/>
  <c r="AL11" i="41"/>
  <c r="AP11" i="41"/>
  <c r="AP43" i="41" s="1"/>
  <c r="P8" i="40" s="1"/>
  <c r="AT11" i="41"/>
  <c r="AT43" i="41" s="1"/>
  <c r="R8" i="40" s="1"/>
  <c r="AI11" i="41"/>
  <c r="AM11" i="41"/>
  <c r="AQ11" i="41"/>
  <c r="AQ43" i="41" s="1"/>
  <c r="AU11" i="41"/>
  <c r="AU43" i="41" s="1"/>
  <c r="AJ11" i="41"/>
  <c r="AN11" i="41"/>
  <c r="AR11" i="41"/>
  <c r="AR43" i="41" s="1"/>
  <c r="Q8" i="40" s="1"/>
  <c r="AV11" i="41"/>
  <c r="AV43" i="41" s="1"/>
  <c r="S8" i="40" s="1"/>
  <c r="CB33" i="41"/>
  <c r="CC33" i="41"/>
  <c r="BZ33" i="41"/>
  <c r="CD33" i="41"/>
  <c r="CA33" i="41"/>
  <c r="CE33" i="41"/>
  <c r="CF10" i="41"/>
  <c r="CJ10" i="41"/>
  <c r="CG10" i="41"/>
  <c r="CK10" i="41"/>
  <c r="CH10" i="41"/>
  <c r="CI10" i="41"/>
  <c r="CR33" i="41"/>
  <c r="CV33" i="41"/>
  <c r="CS33" i="41"/>
  <c r="CW33" i="41"/>
  <c r="CT33" i="41"/>
  <c r="CU33" i="41"/>
  <c r="BP33" i="41"/>
  <c r="BQ33" i="41"/>
  <c r="BN33" i="41"/>
  <c r="BR33" i="41"/>
  <c r="BO33" i="41"/>
  <c r="BS33" i="41"/>
  <c r="CR37" i="41"/>
  <c r="CV37" i="41"/>
  <c r="CS37" i="41"/>
  <c r="CW37" i="41"/>
  <c r="CT37" i="41"/>
  <c r="CU37" i="41"/>
  <c r="CY21" i="41"/>
  <c r="DC21" i="41"/>
  <c r="DA21" i="41"/>
  <c r="DB21" i="41"/>
  <c r="CX21" i="41"/>
  <c r="CZ21" i="41"/>
  <c r="BL21" i="41"/>
  <c r="CF33" i="41"/>
  <c r="CJ33" i="41"/>
  <c r="CG33" i="41"/>
  <c r="CK33" i="41"/>
  <c r="CH33" i="41"/>
  <c r="CI33" i="41"/>
  <c r="CU19" i="41"/>
  <c r="CS19" i="41"/>
  <c r="CW19" i="41"/>
  <c r="CR19" i="41"/>
  <c r="CT19" i="41"/>
  <c r="CV19" i="41"/>
  <c r="BL4" i="41"/>
  <c r="CS20" i="41"/>
  <c r="CW20" i="41"/>
  <c r="CU20" i="41"/>
  <c r="CV20" i="41"/>
  <c r="CR20" i="41"/>
  <c r="CT20" i="41"/>
  <c r="CZ33" i="41"/>
  <c r="DA33" i="41"/>
  <c r="CX33" i="41"/>
  <c r="DB33" i="41"/>
  <c r="DC33" i="41"/>
  <c r="CY33" i="41"/>
  <c r="BT33" i="41"/>
  <c r="BX33" i="41"/>
  <c r="BU33" i="41"/>
  <c r="BY33" i="41"/>
  <c r="BV33" i="41"/>
  <c r="BW33" i="41"/>
  <c r="DD33" i="41"/>
  <c r="DH33" i="41"/>
  <c r="DE33" i="41"/>
  <c r="DI33" i="41"/>
  <c r="DF33" i="41"/>
  <c r="DG33" i="41"/>
  <c r="BF47" i="41"/>
  <c r="Z10" i="40" s="1"/>
  <c r="R56" i="40" l="1"/>
  <c r="R58" i="40" s="1"/>
  <c r="R9" i="40"/>
  <c r="Q56" i="40"/>
  <c r="Q58" i="40" s="1"/>
  <c r="Q9" i="40"/>
  <c r="P56" i="40"/>
  <c r="P58" i="40" s="1"/>
  <c r="P9" i="40"/>
  <c r="S56" i="40"/>
  <c r="S58" i="40" s="1"/>
  <c r="S9" i="40"/>
  <c r="W60" i="40"/>
  <c r="W62" i="40" s="1"/>
  <c r="AB11" i="40"/>
  <c r="T11" i="40"/>
  <c r="AK43" i="41"/>
  <c r="AK45" i="41" s="1"/>
  <c r="AK50" i="41" s="1"/>
  <c r="V11" i="40"/>
  <c r="V60" i="40"/>
  <c r="V62" i="40" s="1"/>
  <c r="AA11" i="40"/>
  <c r="AA60" i="40"/>
  <c r="AA62" i="40" s="1"/>
  <c r="BL18" i="41"/>
  <c r="Y11" i="40"/>
  <c r="Y60" i="40"/>
  <c r="Y62" i="40" s="1"/>
  <c r="X11" i="40"/>
  <c r="X60" i="40"/>
  <c r="X62" i="40" s="1"/>
  <c r="U11" i="40"/>
  <c r="U60" i="40"/>
  <c r="U62" i="40" s="1"/>
  <c r="Z60" i="40"/>
  <c r="Z62" i="40" s="1"/>
  <c r="Z11" i="40"/>
  <c r="AP45" i="41"/>
  <c r="AP50" i="41" s="1"/>
  <c r="CU22" i="41"/>
  <c r="CS22" i="41"/>
  <c r="CW22" i="41"/>
  <c r="CR22" i="41"/>
  <c r="CT22" i="41"/>
  <c r="CV22" i="41"/>
  <c r="BL22" i="41"/>
  <c r="CA22" i="41"/>
  <c r="CE22" i="41"/>
  <c r="CC22" i="41"/>
  <c r="CB22" i="41"/>
  <c r="CD22" i="41"/>
  <c r="BZ22" i="41"/>
  <c r="DA11" i="41"/>
  <c r="CX11" i="41"/>
  <c r="DB11" i="41"/>
  <c r="CY11" i="41"/>
  <c r="DC11" i="41"/>
  <c r="CZ11" i="41"/>
  <c r="AN43" i="41"/>
  <c r="H8" i="40" s="1"/>
  <c r="CS11" i="41"/>
  <c r="CW11" i="41"/>
  <c r="CT11" i="41"/>
  <c r="CU11" i="41"/>
  <c r="CR11" i="41"/>
  <c r="CV11" i="41"/>
  <c r="AM43" i="41"/>
  <c r="G8" i="40" s="1"/>
  <c r="G9" i="40" s="1"/>
  <c r="CO11" i="41"/>
  <c r="CL11" i="41"/>
  <c r="CP11" i="41"/>
  <c r="CM11" i="41"/>
  <c r="CQ11" i="41"/>
  <c r="CN11" i="41"/>
  <c r="DE11" i="41"/>
  <c r="DI11" i="41"/>
  <c r="DF11" i="41"/>
  <c r="DG11" i="41"/>
  <c r="DD11" i="41"/>
  <c r="DH11" i="41"/>
  <c r="AO43" i="41"/>
  <c r="O8" i="40" s="1"/>
  <c r="BW6" i="41"/>
  <c r="BT6" i="41"/>
  <c r="BX6" i="41"/>
  <c r="BU6" i="41"/>
  <c r="BY6" i="41"/>
  <c r="BV6" i="41"/>
  <c r="AI43" i="41"/>
  <c r="I8" i="40" s="1"/>
  <c r="AL43" i="41"/>
  <c r="CI22" i="41"/>
  <c r="CG22" i="41"/>
  <c r="CK22" i="41"/>
  <c r="CJ22" i="41"/>
  <c r="CF22" i="41"/>
  <c r="CH22" i="41"/>
  <c r="CM22" i="41"/>
  <c r="CQ22" i="41"/>
  <c r="CO22" i="41"/>
  <c r="CL22" i="41"/>
  <c r="CN22" i="41"/>
  <c r="CP22" i="41"/>
  <c r="AQ45" i="41"/>
  <c r="AQ50" i="41" s="1"/>
  <c r="CC11" i="41"/>
  <c r="CC43" i="41" s="1"/>
  <c r="BZ11" i="41"/>
  <c r="CD11" i="41"/>
  <c r="CA11" i="41"/>
  <c r="CE11" i="41"/>
  <c r="CB11" i="41"/>
  <c r="AJ43" i="41"/>
  <c r="M8" i="40" s="1"/>
  <c r="BU11" i="41"/>
  <c r="BY11" i="41"/>
  <c r="BV11" i="41"/>
  <c r="BW11" i="41"/>
  <c r="BT11" i="41"/>
  <c r="BX11" i="41"/>
  <c r="BQ11" i="41"/>
  <c r="BN11" i="41"/>
  <c r="BR11" i="41"/>
  <c r="BO11" i="41"/>
  <c r="BS11" i="41"/>
  <c r="BP11" i="41"/>
  <c r="CG11" i="41"/>
  <c r="CK11" i="41"/>
  <c r="CH11" i="41"/>
  <c r="CI11" i="41"/>
  <c r="CF11" i="41"/>
  <c r="CJ11" i="41"/>
  <c r="CO18" i="41"/>
  <c r="CM18" i="41"/>
  <c r="CQ18" i="41"/>
  <c r="CN18" i="41"/>
  <c r="CP18" i="41"/>
  <c r="CL18" i="41"/>
  <c r="BW22" i="41"/>
  <c r="BU22" i="41"/>
  <c r="BY22" i="41"/>
  <c r="BT22" i="41"/>
  <c r="BV22" i="41"/>
  <c r="BX22" i="41"/>
  <c r="BO22" i="41"/>
  <c r="BS22" i="41"/>
  <c r="BQ22" i="41"/>
  <c r="BN22" i="41"/>
  <c r="BP22" i="41"/>
  <c r="BR22" i="41"/>
  <c r="AR45" i="41"/>
  <c r="AR50" i="41" s="1"/>
  <c r="AS45" i="41"/>
  <c r="AS50" i="41" s="1"/>
  <c r="AV45" i="41"/>
  <c r="AV50" i="41" s="1"/>
  <c r="AU45" i="41"/>
  <c r="AU50" i="41" s="1"/>
  <c r="AT45" i="41"/>
  <c r="AT50" i="41" s="1"/>
  <c r="BL11" i="41"/>
  <c r="CG18" i="41"/>
  <c r="CK18" i="41"/>
  <c r="CI18" i="41"/>
  <c r="CF18" i="41"/>
  <c r="CH18" i="41"/>
  <c r="CJ18" i="41"/>
  <c r="DG22" i="41"/>
  <c r="DE22" i="41"/>
  <c r="DI22" i="41"/>
  <c r="DH22" i="41"/>
  <c r="DD22" i="41"/>
  <c r="DF22" i="41"/>
  <c r="CY22" i="41"/>
  <c r="DC22" i="41"/>
  <c r="DA22" i="41"/>
  <c r="CZ22" i="41"/>
  <c r="DB22" i="41"/>
  <c r="CX22" i="41"/>
  <c r="AH43" i="41"/>
  <c r="J8" i="40" s="1"/>
  <c r="CD43" i="41" l="1"/>
  <c r="CV43" i="41"/>
  <c r="N8" i="40"/>
  <c r="N9" i="40" s="1"/>
  <c r="M56" i="40"/>
  <c r="M58" i="40" s="1"/>
  <c r="I56" i="40"/>
  <c r="I58" i="40" s="1"/>
  <c r="I9" i="40"/>
  <c r="J56" i="40"/>
  <c r="J58" i="40" s="1"/>
  <c r="J9" i="40"/>
  <c r="H56" i="40"/>
  <c r="H58" i="40" s="1"/>
  <c r="BR43" i="41"/>
  <c r="BR45" i="41" s="1"/>
  <c r="BR47" i="41" s="1"/>
  <c r="CL43" i="41"/>
  <c r="CL45" i="41" s="1"/>
  <c r="CL47" i="41" s="1"/>
  <c r="CN43" i="41"/>
  <c r="CN45" i="41" s="1"/>
  <c r="CN47" i="41" s="1"/>
  <c r="G56" i="40"/>
  <c r="G58" i="40" s="1"/>
  <c r="CA43" i="41"/>
  <c r="CA45" i="41" s="1"/>
  <c r="CA47" i="41" s="1"/>
  <c r="CR43" i="41"/>
  <c r="CR45" i="41" s="1"/>
  <c r="CR47" i="41" s="1"/>
  <c r="CS43" i="41"/>
  <c r="CS45" i="41" s="1"/>
  <c r="CS47" i="41" s="1"/>
  <c r="CM43" i="41"/>
  <c r="CM45" i="41" s="1"/>
  <c r="CM47" i="41" s="1"/>
  <c r="CO43" i="41"/>
  <c r="CO45" i="41" s="1"/>
  <c r="CO47" i="41" s="1"/>
  <c r="CB43" i="41"/>
  <c r="CB45" i="41" s="1"/>
  <c r="CB47" i="41" s="1"/>
  <c r="BZ43" i="41"/>
  <c r="BZ45" i="41" s="1"/>
  <c r="BZ47" i="41" s="1"/>
  <c r="L8" i="40"/>
  <c r="F8" i="40" s="1"/>
  <c r="F56" i="40" s="1"/>
  <c r="F58" i="40" s="1"/>
  <c r="AP47" i="41"/>
  <c r="P10" i="40" s="1"/>
  <c r="P60" i="40" s="1"/>
  <c r="P62" i="40" s="1"/>
  <c r="CI43" i="41"/>
  <c r="CI45" i="41" s="1"/>
  <c r="CI47" i="41" s="1"/>
  <c r="BO43" i="41"/>
  <c r="BO45" i="41" s="1"/>
  <c r="BO47" i="41" s="1"/>
  <c r="O56" i="40"/>
  <c r="O58" i="40" s="1"/>
  <c r="AV47" i="41"/>
  <c r="S10" i="40" s="1"/>
  <c r="CF43" i="41"/>
  <c r="CF45" i="41" s="1"/>
  <c r="CF47" i="41" s="1"/>
  <c r="CW43" i="41"/>
  <c r="CW45" i="41" s="1"/>
  <c r="CW47" i="41" s="1"/>
  <c r="CG43" i="41"/>
  <c r="CG45" i="41" s="1"/>
  <c r="CG47" i="41" s="1"/>
  <c r="CQ43" i="41"/>
  <c r="CQ45" i="41" s="1"/>
  <c r="CQ47" i="41" s="1"/>
  <c r="DG43" i="41"/>
  <c r="DG45" i="41" s="1"/>
  <c r="DG47" i="41" s="1"/>
  <c r="CY43" i="41"/>
  <c r="CY45" i="41" s="1"/>
  <c r="CY47" i="41" s="1"/>
  <c r="AT47" i="41"/>
  <c r="R10" i="40" s="1"/>
  <c r="BP43" i="41"/>
  <c r="BP45" i="41" s="1"/>
  <c r="BP47" i="41" s="1"/>
  <c r="BN43" i="41"/>
  <c r="BN45" i="41" s="1"/>
  <c r="BN47" i="41" s="1"/>
  <c r="AK47" i="41"/>
  <c r="CH43" i="41"/>
  <c r="CH45" i="41" s="1"/>
  <c r="CH47" i="41" s="1"/>
  <c r="BS43" i="41"/>
  <c r="BS45" i="41" s="1"/>
  <c r="BS47" i="41" s="1"/>
  <c r="BQ43" i="41"/>
  <c r="BQ45" i="41" s="1"/>
  <c r="BQ47" i="41" s="1"/>
  <c r="AQ47" i="41"/>
  <c r="CJ43" i="41"/>
  <c r="CJ45" i="41" s="1"/>
  <c r="CJ47" i="41" s="1"/>
  <c r="CK43" i="41"/>
  <c r="CK45" i="41" s="1"/>
  <c r="CK47" i="41" s="1"/>
  <c r="BT43" i="41"/>
  <c r="BT45" i="41" s="1"/>
  <c r="BT47" i="41" s="1"/>
  <c r="DD43" i="41"/>
  <c r="DD45" i="41" s="1"/>
  <c r="DE43" i="41"/>
  <c r="DE45" i="41" s="1"/>
  <c r="DE47" i="41" s="1"/>
  <c r="CP43" i="41"/>
  <c r="CP45" i="41" s="1"/>
  <c r="CP47" i="41" s="1"/>
  <c r="DA43" i="41"/>
  <c r="DA45" i="41" s="1"/>
  <c r="DA47" i="41" s="1"/>
  <c r="BV43" i="41"/>
  <c r="DC43" i="41"/>
  <c r="AS47" i="41"/>
  <c r="CE43" i="41"/>
  <c r="AR47" i="41"/>
  <c r="Q10" i="40" s="1"/>
  <c r="AL45" i="41"/>
  <c r="AL50" i="41" s="1"/>
  <c r="BU43" i="41"/>
  <c r="AO45" i="41"/>
  <c r="AO50" i="41" s="1"/>
  <c r="DF43" i="41"/>
  <c r="CU43" i="41"/>
  <c r="AN45" i="41"/>
  <c r="AN50" i="41" s="1"/>
  <c r="DB43" i="41"/>
  <c r="CV45" i="41"/>
  <c r="CV47" i="41" s="1"/>
  <c r="CC45" i="41"/>
  <c r="CC47" i="41" s="1"/>
  <c r="BY43" i="41"/>
  <c r="BW43" i="41"/>
  <c r="AH45" i="41"/>
  <c r="AH50" i="41" s="1"/>
  <c r="AU47" i="41"/>
  <c r="AJ45" i="41"/>
  <c r="AJ50" i="41" s="1"/>
  <c r="CD45" i="41"/>
  <c r="CD47" i="41" s="1"/>
  <c r="AI45" i="41"/>
  <c r="AI50" i="41" s="1"/>
  <c r="BX43" i="41"/>
  <c r="DH43" i="41"/>
  <c r="DI43" i="41"/>
  <c r="AM45" i="41"/>
  <c r="AM50" i="41" s="1"/>
  <c r="CT43" i="41"/>
  <c r="CZ43" i="41"/>
  <c r="CX43" i="41"/>
  <c r="N56" i="40" l="1"/>
  <c r="N58" i="40" s="1"/>
  <c r="L56" i="40"/>
  <c r="L58" i="40" s="1"/>
  <c r="L9" i="40"/>
  <c r="AJ47" i="41"/>
  <c r="M10" i="40" s="1"/>
  <c r="P11" i="40"/>
  <c r="DD47" i="41"/>
  <c r="AN47" i="41"/>
  <c r="H10" i="40" s="1"/>
  <c r="AO47" i="41"/>
  <c r="O10" i="40" s="1"/>
  <c r="N10" i="40" s="1"/>
  <c r="N11" i="40" s="1"/>
  <c r="R60" i="40"/>
  <c r="R62" i="40" s="1"/>
  <c r="R11" i="40"/>
  <c r="Q11" i="40"/>
  <c r="Q60" i="40"/>
  <c r="Q62" i="40" s="1"/>
  <c r="AI47" i="41"/>
  <c r="I10" i="40" s="1"/>
  <c r="S11" i="40"/>
  <c r="S60" i="40"/>
  <c r="S62" i="40" s="1"/>
  <c r="AH47" i="41"/>
  <c r="J10" i="40" s="1"/>
  <c r="CK48" i="41"/>
  <c r="CK49" i="41" s="1"/>
  <c r="CQ48" i="41"/>
  <c r="BS48" i="41"/>
  <c r="BY45" i="41"/>
  <c r="BY47" i="41" s="1"/>
  <c r="CE45" i="41"/>
  <c r="CE47" i="41" s="1"/>
  <c r="CE48" i="41" s="1"/>
  <c r="BX45" i="41"/>
  <c r="BX47" i="41" s="1"/>
  <c r="BV45" i="41"/>
  <c r="BV47" i="41" s="1"/>
  <c r="DH45" i="41"/>
  <c r="DH47" i="41" s="1"/>
  <c r="CX45" i="41"/>
  <c r="CX47" i="41" s="1"/>
  <c r="AM47" i="41"/>
  <c r="G10" i="40" s="1"/>
  <c r="CU45" i="41"/>
  <c r="CU47" i="41" s="1"/>
  <c r="BU45" i="41"/>
  <c r="BU47" i="41" s="1"/>
  <c r="CT45" i="41"/>
  <c r="CT47" i="41" s="1"/>
  <c r="DC45" i="41"/>
  <c r="DC47" i="41" s="1"/>
  <c r="CZ45" i="41"/>
  <c r="CZ47" i="41" s="1"/>
  <c r="DI45" i="41"/>
  <c r="DI47" i="41" s="1"/>
  <c r="BW45" i="41"/>
  <c r="BW47" i="41" s="1"/>
  <c r="DB45" i="41"/>
  <c r="DB47" i="41" s="1"/>
  <c r="DF45" i="41"/>
  <c r="DF47" i="41" s="1"/>
  <c r="AL47" i="41"/>
  <c r="L10" i="40" s="1"/>
  <c r="CE49" i="41" l="1"/>
  <c r="CW48" i="41"/>
  <c r="CW49" i="41" s="1"/>
  <c r="F10" i="40"/>
  <c r="I60" i="40"/>
  <c r="I62" i="40" s="1"/>
  <c r="M11" i="40"/>
  <c r="L60" i="40"/>
  <c r="L62" i="40" s="1"/>
  <c r="J60" i="40"/>
  <c r="J62" i="40" s="1"/>
  <c r="H60" i="40"/>
  <c r="H62" i="40" s="1"/>
  <c r="G60" i="40"/>
  <c r="G62" i="40" s="1"/>
  <c r="M60" i="40"/>
  <c r="M62" i="40" s="1"/>
  <c r="BS49" i="41"/>
  <c r="DI48" i="41"/>
  <c r="DI49" i="41" s="1"/>
  <c r="O11" i="40"/>
  <c r="O60" i="40"/>
  <c r="O62" i="40" s="1"/>
  <c r="CQ49" i="41"/>
  <c r="BY48" i="41"/>
  <c r="BY49" i="41" s="1"/>
  <c r="DC48" i="41"/>
  <c r="DC49" i="41" s="1"/>
  <c r="AH10" i="40" l="1"/>
  <c r="AI10" i="40" s="1"/>
  <c r="L31" i="40"/>
  <c r="J49" i="40"/>
  <c r="J44" i="40"/>
  <c r="J41" i="40"/>
  <c r="I49" i="40"/>
  <c r="I44" i="40"/>
  <c r="F37" i="40"/>
  <c r="AB49" i="40"/>
  <c r="AA49" i="40"/>
  <c r="Z49" i="40"/>
  <c r="Y49" i="40"/>
  <c r="X49" i="40"/>
  <c r="W49" i="40"/>
  <c r="V49" i="40"/>
  <c r="U49" i="40"/>
  <c r="T49" i="40"/>
  <c r="S49" i="40"/>
  <c r="R49" i="40"/>
  <c r="Q49" i="40"/>
  <c r="P49" i="40"/>
  <c r="O49" i="40"/>
  <c r="M49" i="40"/>
  <c r="L49" i="40"/>
  <c r="AB44" i="40"/>
  <c r="AA44" i="40"/>
  <c r="Z44" i="40"/>
  <c r="Y44" i="40"/>
  <c r="X44" i="40"/>
  <c r="W44" i="40"/>
  <c r="V44" i="40"/>
  <c r="U44" i="40"/>
  <c r="T44" i="40"/>
  <c r="S44" i="40"/>
  <c r="R44" i="40"/>
  <c r="Q44" i="40"/>
  <c r="P44" i="40"/>
  <c r="O44" i="40"/>
  <c r="M44" i="40"/>
  <c r="L44" i="40"/>
  <c r="AB39" i="40"/>
  <c r="AA39" i="40"/>
  <c r="Z39" i="40"/>
  <c r="Y39" i="40"/>
  <c r="X39" i="40"/>
  <c r="W39" i="40"/>
  <c r="V39" i="40"/>
  <c r="U39" i="40"/>
  <c r="T39" i="40"/>
  <c r="S39" i="40"/>
  <c r="R39" i="40"/>
  <c r="Q39" i="40"/>
  <c r="P39" i="40"/>
  <c r="O39" i="40"/>
  <c r="M39" i="40"/>
  <c r="AB34" i="40"/>
  <c r="AA34" i="40"/>
  <c r="Z34" i="40"/>
  <c r="Y34" i="40"/>
  <c r="X34" i="40"/>
  <c r="W34" i="40"/>
  <c r="V34" i="40"/>
  <c r="U34" i="40"/>
  <c r="T34" i="40"/>
  <c r="S34" i="40"/>
  <c r="R34" i="40"/>
  <c r="Q34" i="40"/>
  <c r="P34" i="40"/>
  <c r="O34" i="40"/>
  <c r="M29" i="40"/>
  <c r="L29" i="40"/>
  <c r="AB16" i="40"/>
  <c r="AA16" i="40"/>
  <c r="Z16" i="40"/>
  <c r="Y16" i="40"/>
  <c r="X16" i="40"/>
  <c r="W16" i="40"/>
  <c r="V16" i="40"/>
  <c r="U16" i="40"/>
  <c r="T16" i="40"/>
  <c r="S16" i="40"/>
  <c r="R16" i="40"/>
  <c r="Q16" i="40"/>
  <c r="P16" i="40"/>
  <c r="O16" i="40"/>
  <c r="AH60" i="40" l="1"/>
  <c r="F39" i="40"/>
  <c r="AH37" i="40"/>
  <c r="AI37" i="40" s="1"/>
  <c r="F41" i="40"/>
  <c r="AI60" i="40"/>
  <c r="AC9" i="40"/>
  <c r="I14" i="40"/>
  <c r="I16" i="40"/>
  <c r="I11" i="40"/>
  <c r="L11" i="40"/>
  <c r="G14" i="40"/>
  <c r="G36" i="40"/>
  <c r="G41" i="40"/>
  <c r="J39" i="40"/>
  <c r="L39" i="40"/>
  <c r="L41" i="40"/>
  <c r="I39" i="40"/>
  <c r="I41" i="40"/>
  <c r="J11" i="40"/>
  <c r="J29" i="40"/>
  <c r="J31" i="40"/>
  <c r="H49" i="40"/>
  <c r="H44" i="40"/>
  <c r="G49" i="40"/>
  <c r="G44" i="40"/>
  <c r="G39" i="40"/>
  <c r="G34" i="40"/>
  <c r="G16" i="40"/>
  <c r="X7" i="39"/>
  <c r="AE53" i="40"/>
  <c r="AD53" i="40"/>
  <c r="E22" i="40"/>
  <c r="D22" i="40"/>
  <c r="B4" i="12"/>
  <c r="C51" i="12"/>
  <c r="D51" i="12"/>
  <c r="H51" i="12"/>
  <c r="G51" i="12"/>
  <c r="P51" i="12"/>
  <c r="AA7" i="39" l="1"/>
  <c r="AA17" i="39" s="1"/>
  <c r="X18" i="39"/>
  <c r="AE7" i="39"/>
  <c r="AE17" i="39" s="1"/>
  <c r="D24" i="40"/>
  <c r="D53" i="40"/>
  <c r="D57" i="40" s="1"/>
  <c r="E24" i="40"/>
  <c r="E53" i="40"/>
  <c r="E57" i="40" s="1"/>
  <c r="AF53" i="40"/>
  <c r="AF24" i="40"/>
  <c r="AC24" i="40" s="1"/>
  <c r="AI39" i="40"/>
  <c r="AI41" i="40"/>
  <c r="AC22" i="40"/>
  <c r="S26" i="40"/>
  <c r="S24" i="40"/>
  <c r="W26" i="40"/>
  <c r="W24" i="40"/>
  <c r="AA26" i="40"/>
  <c r="AA24" i="40"/>
  <c r="P26" i="40"/>
  <c r="P24" i="40"/>
  <c r="T26" i="40"/>
  <c r="T24" i="40"/>
  <c r="X26" i="40"/>
  <c r="X24" i="40"/>
  <c r="AB26" i="40"/>
  <c r="AB24" i="40"/>
  <c r="Q26" i="40"/>
  <c r="Q24" i="40"/>
  <c r="U26" i="40"/>
  <c r="U24" i="40"/>
  <c r="Y26" i="40"/>
  <c r="Y24" i="40"/>
  <c r="R26" i="40"/>
  <c r="R24" i="40"/>
  <c r="V26" i="40"/>
  <c r="V24" i="40"/>
  <c r="Z26" i="40"/>
  <c r="Z24" i="40"/>
  <c r="H39" i="40"/>
  <c r="H41" i="40"/>
  <c r="H16" i="40"/>
  <c r="H14" i="40"/>
  <c r="H34" i="40"/>
  <c r="H36" i="40"/>
  <c r="H26" i="40"/>
  <c r="F22" i="40" l="1"/>
  <c r="H24" i="40"/>
  <c r="M26" i="40"/>
  <c r="M24" i="40"/>
  <c r="J24" i="40"/>
  <c r="J26" i="40"/>
  <c r="I24" i="40"/>
  <c r="I26" i="40"/>
  <c r="L26" i="40"/>
  <c r="L24" i="40"/>
  <c r="G26" i="40"/>
  <c r="G24" i="40"/>
  <c r="T21" i="40"/>
  <c r="T19" i="40"/>
  <c r="Y21" i="40"/>
  <c r="Y19" i="40"/>
  <c r="AB21" i="40"/>
  <c r="AB19" i="40"/>
  <c r="Q21" i="40"/>
  <c r="Q19" i="40"/>
  <c r="U21" i="40"/>
  <c r="U19" i="40"/>
  <c r="P21" i="40"/>
  <c r="P19" i="40"/>
  <c r="V21" i="40"/>
  <c r="V19" i="40"/>
  <c r="F26" i="40" l="1"/>
  <c r="F24" i="40"/>
  <c r="N22" i="40"/>
  <c r="AH39" i="40"/>
  <c r="AH41" i="40"/>
  <c r="O26" i="40"/>
  <c r="O24" i="40"/>
  <c r="Z21" i="40"/>
  <c r="Z19" i="40"/>
  <c r="R21" i="40"/>
  <c r="R19" i="40"/>
  <c r="X21" i="40"/>
  <c r="X19" i="40"/>
  <c r="S21" i="40"/>
  <c r="S19" i="40"/>
  <c r="W21" i="40"/>
  <c r="W19" i="40"/>
  <c r="AD54" i="40"/>
  <c r="AD57" i="40"/>
  <c r="O21" i="40"/>
  <c r="O19" i="40"/>
  <c r="AA21" i="40"/>
  <c r="AA19" i="40"/>
  <c r="AH22" i="40" l="1"/>
  <c r="AI22" i="40" s="1"/>
  <c r="AI26" i="40" s="1"/>
  <c r="N24" i="40"/>
  <c r="N26" i="40"/>
  <c r="AD59" i="40"/>
  <c r="L19" i="40"/>
  <c r="L21" i="40"/>
  <c r="J21" i="40"/>
  <c r="J19" i="40"/>
  <c r="G21" i="40"/>
  <c r="G19" i="40"/>
  <c r="M21" i="40"/>
  <c r="M19" i="40"/>
  <c r="H19" i="40"/>
  <c r="H21" i="40"/>
  <c r="I21" i="40"/>
  <c r="I19" i="40"/>
  <c r="AH24" i="40" l="1"/>
  <c r="AH26" i="40"/>
  <c r="AI24" i="40"/>
  <c r="B49" i="12" l="1"/>
  <c r="P49" i="12" s="1"/>
  <c r="P48" i="12"/>
  <c r="F48" i="12"/>
  <c r="B48" i="12"/>
  <c r="P47" i="12"/>
  <c r="F47" i="12"/>
  <c r="E47" i="12"/>
  <c r="B47" i="12"/>
  <c r="B28" i="12" l="1"/>
  <c r="C46" i="12" l="1"/>
  <c r="D46" i="12"/>
  <c r="B45" i="12" l="1"/>
  <c r="J45" i="12" s="1"/>
  <c r="M45" i="12" l="1"/>
  <c r="L45" i="12"/>
  <c r="O45" i="12"/>
  <c r="K45" i="12"/>
  <c r="N45" i="12"/>
  <c r="B21" i="12" l="1"/>
  <c r="B16" i="12"/>
  <c r="AC12" i="40"/>
  <c r="AH12" i="40" l="1"/>
  <c r="AI12" i="40" s="1"/>
  <c r="AC53" i="40"/>
  <c r="AF14" i="40"/>
  <c r="AC14" i="40" s="1"/>
  <c r="J16" i="12"/>
  <c r="N16" i="12"/>
  <c r="K16" i="12"/>
  <c r="O16" i="12"/>
  <c r="L16" i="12"/>
  <c r="M16" i="12"/>
  <c r="L21" i="12"/>
  <c r="M21" i="12"/>
  <c r="J21" i="12"/>
  <c r="N21" i="12"/>
  <c r="K21" i="12"/>
  <c r="O21" i="12"/>
  <c r="U21" i="12"/>
  <c r="I21" i="12"/>
  <c r="R21" i="12"/>
  <c r="Q21" i="12"/>
  <c r="T21" i="12"/>
  <c r="P21" i="12"/>
  <c r="S21" i="12"/>
  <c r="AC59" i="40" l="1"/>
  <c r="AC57" i="40"/>
  <c r="AI14" i="40"/>
  <c r="AI16" i="40"/>
  <c r="AF57" i="40"/>
  <c r="AF61" i="40"/>
  <c r="B44" i="12" l="1"/>
  <c r="P44" i="12" l="1"/>
  <c r="L44" i="12"/>
  <c r="M44" i="12"/>
  <c r="J44" i="12"/>
  <c r="N44" i="12"/>
  <c r="K44" i="12"/>
  <c r="O44" i="12"/>
  <c r="F44" i="12"/>
  <c r="C44" i="12"/>
  <c r="I45" i="12"/>
  <c r="Q45" i="12"/>
  <c r="U45" i="12"/>
  <c r="Y45" i="12"/>
  <c r="D45" i="12"/>
  <c r="R45" i="12"/>
  <c r="V45" i="12"/>
  <c r="Z45" i="12"/>
  <c r="AC45" i="12"/>
  <c r="E45" i="12"/>
  <c r="S45" i="12"/>
  <c r="W45" i="12"/>
  <c r="AA45" i="12"/>
  <c r="C45" i="12"/>
  <c r="P45" i="12"/>
  <c r="AB45" i="12"/>
  <c r="X45" i="12"/>
  <c r="F45" i="12"/>
  <c r="T45" i="12"/>
  <c r="E44" i="12"/>
  <c r="I44" i="12"/>
  <c r="B20" i="12" l="1"/>
  <c r="Q20" i="12" s="1"/>
  <c r="P20" i="12" l="1"/>
  <c r="T20" i="12"/>
  <c r="R20" i="12"/>
  <c r="U20" i="12"/>
  <c r="S20" i="12"/>
  <c r="B43" i="12" l="1"/>
  <c r="S43" i="12" s="1"/>
  <c r="B42" i="12"/>
  <c r="Q42" i="12" s="1"/>
  <c r="B41" i="12"/>
  <c r="R41" i="12" s="1"/>
  <c r="B40" i="12"/>
  <c r="AB40" i="12" s="1"/>
  <c r="B39" i="12"/>
  <c r="AB39" i="12" s="1"/>
  <c r="B38" i="12"/>
  <c r="AA38" i="12" s="1"/>
  <c r="B37" i="12"/>
  <c r="P37" i="12" s="1"/>
  <c r="AC42" i="12" l="1"/>
  <c r="X43" i="12"/>
  <c r="AA43" i="12"/>
  <c r="T43" i="12"/>
  <c r="Y38" i="12"/>
  <c r="AC38" i="12"/>
  <c r="S39" i="12"/>
  <c r="Z41" i="12"/>
  <c r="X38" i="12"/>
  <c r="V39" i="12"/>
  <c r="R40" i="12"/>
  <c r="V41" i="12"/>
  <c r="T39" i="12"/>
  <c r="V40" i="12"/>
  <c r="W41" i="12"/>
  <c r="U41" i="12"/>
  <c r="B18" i="12" l="1"/>
  <c r="B6" i="12"/>
  <c r="B10" i="12"/>
  <c r="B7" i="12"/>
  <c r="C7" i="12" s="1"/>
  <c r="J6" i="12" l="1"/>
  <c r="N6" i="12"/>
  <c r="K6" i="12"/>
  <c r="O6" i="12"/>
  <c r="L6" i="12"/>
  <c r="M6" i="12"/>
  <c r="I6" i="12"/>
  <c r="B36" i="12" l="1"/>
  <c r="J36" i="12" l="1"/>
  <c r="N36" i="12"/>
  <c r="K36" i="12"/>
  <c r="O36" i="12"/>
  <c r="L36" i="12"/>
  <c r="M36" i="12"/>
  <c r="S36" i="12"/>
  <c r="T36" i="12"/>
  <c r="R36" i="12"/>
  <c r="Q36" i="12"/>
  <c r="C36" i="12"/>
  <c r="Z36" i="12"/>
  <c r="Y36" i="12"/>
  <c r="F36" i="12"/>
  <c r="X36" i="12"/>
  <c r="P36" i="12"/>
  <c r="U36" i="12"/>
  <c r="AB36" i="12"/>
  <c r="D36" i="12"/>
  <c r="W36" i="12"/>
  <c r="AA36" i="12"/>
  <c r="E36" i="12"/>
  <c r="I36" i="12"/>
  <c r="AC36" i="12"/>
  <c r="V36" i="12"/>
  <c r="B9" i="12"/>
  <c r="L9" i="12" l="1"/>
  <c r="M9" i="12"/>
  <c r="J9" i="12"/>
  <c r="N9" i="12"/>
  <c r="K9" i="12"/>
  <c r="O9" i="12"/>
  <c r="F9" i="12"/>
  <c r="I9" i="12"/>
  <c r="G9" i="12"/>
  <c r="H9" i="12"/>
  <c r="P9" i="12"/>
  <c r="C9" i="12"/>
  <c r="D9" i="12"/>
  <c r="E9" i="12"/>
  <c r="B17" i="12" l="1"/>
  <c r="P16" i="12"/>
  <c r="I16" i="12"/>
  <c r="B13" i="12"/>
  <c r="R6" i="12"/>
  <c r="P6" i="12"/>
  <c r="B12" i="12"/>
  <c r="B11" i="12"/>
  <c r="B8" i="12"/>
  <c r="H8" i="12" s="1"/>
  <c r="B24" i="12"/>
  <c r="B35" i="12"/>
  <c r="B34" i="12"/>
  <c r="B32" i="12"/>
  <c r="B29" i="12"/>
  <c r="B27" i="12"/>
  <c r="B26" i="12"/>
  <c r="B23" i="12"/>
  <c r="B22" i="12"/>
  <c r="B19" i="12"/>
  <c r="B15" i="12"/>
  <c r="B14" i="12"/>
  <c r="F7" i="12"/>
  <c r="B5" i="12"/>
  <c r="L24" i="12" l="1"/>
  <c r="M24" i="12"/>
  <c r="J24" i="12"/>
  <c r="N24" i="12"/>
  <c r="K24" i="12"/>
  <c r="O24" i="12"/>
  <c r="P22" i="12"/>
  <c r="J22" i="12"/>
  <c r="N22" i="12"/>
  <c r="K22" i="12"/>
  <c r="O22" i="12"/>
  <c r="L22" i="12"/>
  <c r="M22" i="12"/>
  <c r="I22" i="12"/>
  <c r="Y22" i="12"/>
  <c r="W22" i="12"/>
  <c r="U22" i="12"/>
  <c r="T16" i="12"/>
  <c r="Q22" i="12"/>
  <c r="S16" i="12"/>
  <c r="R16" i="12"/>
  <c r="Q16" i="12"/>
  <c r="AC22" i="12"/>
  <c r="V22" i="12"/>
  <c r="AB22" i="12"/>
  <c r="T22" i="12"/>
  <c r="AA22" i="12"/>
  <c r="S22" i="12"/>
  <c r="I24" i="12"/>
  <c r="Z22" i="12"/>
  <c r="R22" i="12"/>
  <c r="X22" i="12"/>
  <c r="D5" i="21" l="1"/>
  <c r="E5" i="21" l="1"/>
  <c r="C5" i="21"/>
  <c r="G5" i="21" l="1"/>
  <c r="U35" i="12" l="1"/>
  <c r="AC34" i="12"/>
  <c r="E19" i="12"/>
  <c r="F19" i="12" l="1"/>
  <c r="Q34" i="12"/>
  <c r="Y34" i="12"/>
  <c r="D11" i="12" l="1"/>
  <c r="C11" i="12" l="1"/>
  <c r="D23" i="12" l="1"/>
  <c r="C23" i="12" l="1"/>
  <c r="E22" i="12" l="1"/>
  <c r="H22" i="12"/>
  <c r="C22" i="12"/>
  <c r="G22" i="12"/>
  <c r="F22" i="12"/>
  <c r="D22" i="12"/>
  <c r="V13" i="12" l="1"/>
  <c r="S13" i="12"/>
  <c r="Q13" i="12"/>
  <c r="AC13" i="12"/>
  <c r="X13" i="12"/>
  <c r="R13" i="12"/>
  <c r="W13" i="12"/>
  <c r="AB13" i="12"/>
  <c r="AA13" i="12"/>
  <c r="U13" i="12"/>
  <c r="Z13" i="12"/>
  <c r="Y13" i="12"/>
  <c r="T13" i="12"/>
  <c r="G16" i="12" l="1"/>
  <c r="F16" i="12"/>
  <c r="E16" i="12"/>
  <c r="D16" i="12"/>
  <c r="C16" i="12"/>
  <c r="H16" i="12"/>
  <c r="AD5" i="25" l="1"/>
  <c r="AC5" i="25"/>
  <c r="AB5" i="25"/>
  <c r="AA5" i="25"/>
  <c r="Z5" i="25"/>
  <c r="Y5" i="25"/>
  <c r="X5" i="25"/>
  <c r="W5" i="25"/>
  <c r="V5" i="25"/>
  <c r="U5" i="25"/>
  <c r="T5" i="25"/>
  <c r="S5" i="25"/>
  <c r="R5" i="25"/>
  <c r="Q5" i="25"/>
  <c r="P5" i="25"/>
  <c r="O5" i="25"/>
  <c r="N5" i="25"/>
  <c r="M5" i="25"/>
  <c r="L5" i="25"/>
  <c r="K5" i="25"/>
  <c r="J5" i="25"/>
  <c r="I5" i="25"/>
  <c r="H5" i="25"/>
  <c r="G5" i="25"/>
  <c r="F5" i="25"/>
  <c r="E5" i="25"/>
  <c r="D5" i="25"/>
  <c r="C5" i="25"/>
  <c r="U17" i="12" l="1"/>
  <c r="S17" i="12"/>
  <c r="R17" i="12"/>
  <c r="E18" i="12" l="1"/>
  <c r="F18" i="12"/>
  <c r="D17" i="12"/>
  <c r="T17" i="12"/>
  <c r="P17" i="12"/>
  <c r="Q17" i="12"/>
  <c r="C18" i="12"/>
  <c r="E94" i="26" l="1"/>
  <c r="F29" i="26"/>
  <c r="H13" i="26" l="1"/>
  <c r="G78" i="26"/>
  <c r="D29" i="26"/>
  <c r="H45" i="26"/>
  <c r="C78" i="26"/>
  <c r="E62" i="26"/>
  <c r="D78" i="26"/>
  <c r="D13" i="26"/>
  <c r="G29" i="26"/>
  <c r="F62" i="26"/>
  <c r="D45" i="26"/>
  <c r="H62" i="26"/>
  <c r="C29" i="26"/>
  <c r="G13" i="26"/>
  <c r="C13" i="26"/>
  <c r="E78" i="26"/>
  <c r="F45" i="26"/>
  <c r="G45" i="26"/>
  <c r="D94" i="26"/>
  <c r="C62" i="26"/>
  <c r="E13" i="26"/>
  <c r="F78" i="26"/>
  <c r="G62" i="26"/>
  <c r="F13" i="26"/>
  <c r="C45" i="26"/>
  <c r="E45" i="26"/>
  <c r="E29" i="26"/>
  <c r="G94" i="26"/>
  <c r="F94" i="26"/>
  <c r="C94" i="26"/>
  <c r="H94" i="26"/>
  <c r="D62" i="26"/>
  <c r="H29" i="26" l="1"/>
  <c r="I29" i="26" s="1"/>
  <c r="I94" i="26"/>
  <c r="H78" i="26"/>
  <c r="I78" i="26" s="1"/>
  <c r="I62" i="26"/>
  <c r="I45" i="26"/>
  <c r="I13" i="26"/>
  <c r="P14" i="12" l="1"/>
  <c r="Q14" i="12"/>
  <c r="R14" i="12"/>
  <c r="F15" i="12" l="1"/>
  <c r="E15" i="12" l="1"/>
  <c r="D7" i="21" l="1"/>
  <c r="D9" i="21"/>
  <c r="D10" i="21"/>
  <c r="D8" i="21"/>
  <c r="C8" i="21"/>
  <c r="D11" i="21"/>
  <c r="AE8" i="25" l="1"/>
  <c r="W6" i="25"/>
  <c r="W21" i="25" s="1"/>
  <c r="AE6" i="25"/>
  <c r="S6" i="25"/>
  <c r="S21" i="25" s="1"/>
  <c r="AA6" i="25"/>
  <c r="AA21" i="25" s="1"/>
  <c r="S12" i="25"/>
  <c r="AB12" i="25"/>
  <c r="R12" i="12"/>
  <c r="S12" i="12"/>
  <c r="Q12" i="12"/>
  <c r="X6" i="25" l="1"/>
  <c r="X21" i="25" s="1"/>
  <c r="T6" i="25"/>
  <c r="T21" i="25" s="1"/>
  <c r="Z6" i="25"/>
  <c r="Z21" i="25" s="1"/>
  <c r="Y6" i="25"/>
  <c r="Y21" i="25" s="1"/>
  <c r="V6" i="25"/>
  <c r="V21" i="25" s="1"/>
  <c r="AD6" i="25"/>
  <c r="AD21" i="25" s="1"/>
  <c r="AE9" i="25"/>
  <c r="R6" i="25"/>
  <c r="R21" i="25" s="1"/>
  <c r="AE11" i="25"/>
  <c r="AB6" i="25"/>
  <c r="AB21" i="25" s="1"/>
  <c r="AC6" i="25"/>
  <c r="AC21" i="25" s="1"/>
  <c r="U6" i="25"/>
  <c r="U21" i="25" s="1"/>
  <c r="AE10" i="25"/>
  <c r="AD12" i="25"/>
  <c r="X12" i="25"/>
  <c r="O12" i="25"/>
  <c r="AB27" i="25"/>
  <c r="Y12" i="25"/>
  <c r="V12" i="25"/>
  <c r="AE12" i="25"/>
  <c r="S27" i="25"/>
  <c r="R12" i="25"/>
  <c r="P12" i="25"/>
  <c r="P6" i="25" l="1"/>
  <c r="P21" i="25" s="1"/>
  <c r="K12" i="25"/>
  <c r="V27" i="25"/>
  <c r="Y27" i="25"/>
  <c r="O27" i="25"/>
  <c r="N12" i="25"/>
  <c r="M12" i="25"/>
  <c r="P27" i="25"/>
  <c r="R27" i="25"/>
  <c r="X27" i="25"/>
  <c r="AD27" i="25"/>
  <c r="L12" i="25"/>
  <c r="N6" i="25" l="1"/>
  <c r="N21" i="25" s="1"/>
  <c r="L6" i="25"/>
  <c r="L21" i="25" s="1"/>
  <c r="Q6" i="25"/>
  <c r="Q21" i="25" s="1"/>
  <c r="O6" i="25"/>
  <c r="O21" i="25" s="1"/>
  <c r="M6" i="25"/>
  <c r="M21" i="25" s="1"/>
  <c r="K6" i="25"/>
  <c r="K21" i="25" s="1"/>
  <c r="L27" i="25"/>
  <c r="M27" i="25"/>
  <c r="N27" i="25"/>
  <c r="K27" i="25"/>
  <c r="C12" i="21"/>
  <c r="D12" i="21"/>
  <c r="U13" i="25" l="1"/>
  <c r="U28" i="25" s="1"/>
  <c r="W13" i="25"/>
  <c r="W28" i="25" s="1"/>
  <c r="O13" i="25" l="1"/>
  <c r="O28" i="25" s="1"/>
  <c r="L13" i="25"/>
  <c r="L28" i="25" s="1"/>
  <c r="P13" i="25"/>
  <c r="P28" i="25" s="1"/>
  <c r="Q13" i="25"/>
  <c r="Q28" i="25" s="1"/>
  <c r="T13" i="25"/>
  <c r="T28" i="25" s="1"/>
  <c r="M13" i="25"/>
  <c r="M28" i="25" s="1"/>
  <c r="X13" i="25"/>
  <c r="X28" i="25" s="1"/>
  <c r="R13" i="25"/>
  <c r="R28" i="25" s="1"/>
  <c r="K13" i="25"/>
  <c r="K28" i="25" s="1"/>
  <c r="S13" i="25"/>
  <c r="S28" i="25" s="1"/>
  <c r="AA13" i="25"/>
  <c r="AA28" i="25" s="1"/>
  <c r="AE13" i="25"/>
  <c r="AB13" i="25"/>
  <c r="AB28" i="25" s="1"/>
  <c r="AC13" i="25"/>
  <c r="AC28" i="25" s="1"/>
  <c r="Z13" i="25"/>
  <c r="Z28" i="25" s="1"/>
  <c r="N13" i="25"/>
  <c r="N28" i="25" s="1"/>
  <c r="Y13" i="25"/>
  <c r="Y28" i="25" s="1"/>
  <c r="AD13" i="25"/>
  <c r="AD28" i="25" s="1"/>
  <c r="V13" i="25"/>
  <c r="V28" i="25" s="1"/>
  <c r="C13" i="21" l="1"/>
  <c r="D13" i="21"/>
  <c r="C10" i="21" l="1"/>
  <c r="C6" i="21"/>
  <c r="C7" i="21"/>
  <c r="C11" i="21"/>
  <c r="C9" i="21"/>
  <c r="C15" i="21" l="1"/>
  <c r="AE14" i="25"/>
  <c r="AE7" i="25" l="1"/>
  <c r="AE16" i="25" s="1"/>
  <c r="P27" i="12" l="1"/>
  <c r="T29" i="12" l="1"/>
  <c r="V28" i="12"/>
  <c r="D26" i="12"/>
  <c r="Z27" i="12"/>
  <c r="S32" i="12"/>
  <c r="X29" i="12"/>
  <c r="AA29" i="12"/>
  <c r="G10" i="12"/>
  <c r="AC12" i="25" l="1"/>
  <c r="AC27" i="25" s="1"/>
  <c r="T6" i="12"/>
  <c r="S6" i="12"/>
  <c r="AA6" i="12"/>
  <c r="Y6" i="12"/>
  <c r="V6" i="12"/>
  <c r="Q6" i="12"/>
  <c r="G8" i="12"/>
  <c r="U6" i="12"/>
  <c r="E7" i="12"/>
  <c r="AB6" i="12"/>
  <c r="X6" i="12"/>
  <c r="H7" i="12"/>
  <c r="P8" i="12"/>
  <c r="H10" i="12"/>
  <c r="F11" i="12"/>
  <c r="AC6" i="12"/>
  <c r="Z6" i="12"/>
  <c r="W6" i="12"/>
  <c r="D7" i="12"/>
  <c r="F8" i="12"/>
  <c r="E11" i="12"/>
  <c r="P11" i="12"/>
  <c r="G7" i="12"/>
  <c r="E8" i="12"/>
  <c r="D8" i="12"/>
  <c r="C8" i="12"/>
  <c r="H7" i="40" l="1"/>
  <c r="U12" i="25"/>
  <c r="U27" i="25" s="1"/>
  <c r="AB9" i="25"/>
  <c r="AA9" i="25"/>
  <c r="AA24" i="25" s="1"/>
  <c r="AC9" i="25"/>
  <c r="AC24" i="25" s="1"/>
  <c r="K9" i="25"/>
  <c r="K24" i="25" s="1"/>
  <c r="S9" i="25"/>
  <c r="S24" i="25" s="1"/>
  <c r="M9" i="25"/>
  <c r="M24" i="25" s="1"/>
  <c r="Y9" i="25"/>
  <c r="D14" i="25"/>
  <c r="E14" i="25"/>
  <c r="X9" i="25"/>
  <c r="X24" i="25" s="1"/>
  <c r="U9" i="25"/>
  <c r="U24" i="25" s="1"/>
  <c r="T9" i="25"/>
  <c r="T24" i="25" s="1"/>
  <c r="R9" i="25"/>
  <c r="R24" i="25" s="1"/>
  <c r="W9" i="25"/>
  <c r="W24" i="25" s="1"/>
  <c r="Q9" i="25"/>
  <c r="Q24" i="25" s="1"/>
  <c r="N9" i="25"/>
  <c r="N24" i="25" s="1"/>
  <c r="L9" i="25"/>
  <c r="L24" i="25" s="1"/>
  <c r="H14" i="25"/>
  <c r="P9" i="25"/>
  <c r="P24" i="25" s="1"/>
  <c r="AD9" i="25"/>
  <c r="AA12" i="25" l="1"/>
  <c r="AA27" i="25" s="1"/>
  <c r="W12" i="25"/>
  <c r="W27" i="25" s="1"/>
  <c r="Z12" i="25"/>
  <c r="Z27" i="25" s="1"/>
  <c r="Q12" i="25"/>
  <c r="Q27" i="25" s="1"/>
  <c r="Z9" i="25"/>
  <c r="Z24" i="25" s="1"/>
  <c r="V9" i="25"/>
  <c r="V24" i="25" s="1"/>
  <c r="O9" i="25"/>
  <c r="O24" i="25" s="1"/>
  <c r="T12" i="25"/>
  <c r="T27" i="25" s="1"/>
  <c r="F14" i="25"/>
  <c r="I14" i="25"/>
  <c r="I29" i="25" s="1"/>
  <c r="G14" i="25"/>
  <c r="J62" i="26" s="1"/>
  <c r="C14" i="25"/>
  <c r="C29" i="25" s="1"/>
  <c r="H29" i="25"/>
  <c r="J78" i="26"/>
  <c r="D29" i="25"/>
  <c r="J29" i="26"/>
  <c r="AD24" i="25"/>
  <c r="E29" i="25"/>
  <c r="J45" i="26"/>
  <c r="AB24" i="25"/>
  <c r="Y24" i="25"/>
  <c r="H9" i="40" l="1"/>
  <c r="G29" i="25"/>
  <c r="F29" i="25"/>
  <c r="J94" i="26"/>
  <c r="J13" i="26"/>
  <c r="I6" i="25"/>
  <c r="I21" i="25" s="1"/>
  <c r="J6" i="25" l="1"/>
  <c r="J21" i="25" s="1"/>
  <c r="F70" i="26"/>
  <c r="E70" i="26"/>
  <c r="H6" i="25"/>
  <c r="H21" i="25" s="1"/>
  <c r="D5" i="26"/>
  <c r="C103" i="26"/>
  <c r="F37" i="26"/>
  <c r="C37" i="26"/>
  <c r="D37" i="26"/>
  <c r="H54" i="26"/>
  <c r="F103" i="26"/>
  <c r="H21" i="26"/>
  <c r="H5" i="26"/>
  <c r="E103" i="26"/>
  <c r="E5" i="26"/>
  <c r="D103" i="26"/>
  <c r="F54" i="26"/>
  <c r="E9" i="21" l="1"/>
  <c r="G70" i="26"/>
  <c r="D70" i="26"/>
  <c r="C70" i="26"/>
  <c r="D86" i="26"/>
  <c r="E86" i="26"/>
  <c r="F86" i="26"/>
  <c r="C86" i="26"/>
  <c r="G86" i="26"/>
  <c r="H70" i="26"/>
  <c r="H86" i="26"/>
  <c r="E6" i="25"/>
  <c r="E21" i="25" s="1"/>
  <c r="D6" i="25"/>
  <c r="D21" i="25" s="1"/>
  <c r="C6" i="25"/>
  <c r="C21" i="25" s="1"/>
  <c r="G6" i="25"/>
  <c r="G21" i="25" s="1"/>
  <c r="F6" i="25"/>
  <c r="G37" i="26"/>
  <c r="E21" i="26"/>
  <c r="E37" i="26"/>
  <c r="F21" i="26"/>
  <c r="G5" i="26"/>
  <c r="C21" i="26"/>
  <c r="G21" i="26"/>
  <c r="F5" i="26"/>
  <c r="C54" i="26"/>
  <c r="D54" i="26"/>
  <c r="G54" i="26"/>
  <c r="G103" i="26"/>
  <c r="H37" i="26"/>
  <c r="D21" i="26"/>
  <c r="H103" i="26"/>
  <c r="E54" i="26"/>
  <c r="C44" i="26"/>
  <c r="C110" i="26"/>
  <c r="C28" i="26"/>
  <c r="F9" i="21" l="1"/>
  <c r="G13" i="25"/>
  <c r="I70" i="26"/>
  <c r="J70" i="26" s="1"/>
  <c r="I86" i="26"/>
  <c r="J86" i="26" s="1"/>
  <c r="F21" i="25"/>
  <c r="I37" i="26"/>
  <c r="J37" i="26" s="1"/>
  <c r="I103" i="26"/>
  <c r="J103" i="26" s="1"/>
  <c r="I5" i="26"/>
  <c r="J5" i="26" s="1"/>
  <c r="I54" i="26"/>
  <c r="J54" i="26" s="1"/>
  <c r="I21" i="26"/>
  <c r="J21" i="26" s="1"/>
  <c r="D28" i="26"/>
  <c r="H28" i="26"/>
  <c r="G28" i="26"/>
  <c r="D110" i="26"/>
  <c r="H61" i="26"/>
  <c r="F44" i="26"/>
  <c r="E44" i="26"/>
  <c r="G12" i="26"/>
  <c r="J13" i="25"/>
  <c r="F28" i="26"/>
  <c r="H110" i="26"/>
  <c r="D44" i="26"/>
  <c r="D12" i="26"/>
  <c r="E28" i="26"/>
  <c r="F110" i="26"/>
  <c r="G61" i="26"/>
  <c r="H44" i="26"/>
  <c r="H12" i="26"/>
  <c r="E110" i="26"/>
  <c r="G110" i="26"/>
  <c r="D61" i="26"/>
  <c r="E61" i="26"/>
  <c r="G44" i="26"/>
  <c r="F12" i="26"/>
  <c r="E12" i="26"/>
  <c r="C61" i="26"/>
  <c r="E7" i="21"/>
  <c r="N27" i="40" l="1"/>
  <c r="O31" i="40"/>
  <c r="O29" i="40"/>
  <c r="G9" i="21"/>
  <c r="D13" i="25"/>
  <c r="D28" i="25" s="1"/>
  <c r="V53" i="40"/>
  <c r="Q53" i="40"/>
  <c r="T53" i="40"/>
  <c r="Z53" i="40"/>
  <c r="R53" i="40"/>
  <c r="W53" i="40"/>
  <c r="P53" i="40"/>
  <c r="X53" i="40"/>
  <c r="AA53" i="40"/>
  <c r="U53" i="40"/>
  <c r="AB53" i="40"/>
  <c r="Y53" i="40"/>
  <c r="S53" i="40"/>
  <c r="E13" i="25"/>
  <c r="E28" i="25" s="1"/>
  <c r="F13" i="25"/>
  <c r="F28" i="25" s="1"/>
  <c r="F10" i="25"/>
  <c r="F25" i="25" s="1"/>
  <c r="C13" i="25"/>
  <c r="C28" i="25" s="1"/>
  <c r="I28" i="26"/>
  <c r="I44" i="26"/>
  <c r="I110" i="26"/>
  <c r="J110" i="26" s="1"/>
  <c r="G28" i="25"/>
  <c r="F61" i="26"/>
  <c r="I61" i="26" s="1"/>
  <c r="J61" i="26" s="1"/>
  <c r="C12" i="26"/>
  <c r="I12" i="26" s="1"/>
  <c r="J28" i="25"/>
  <c r="G58" i="26"/>
  <c r="H58" i="26"/>
  <c r="C107" i="26"/>
  <c r="F7" i="21"/>
  <c r="D6" i="21"/>
  <c r="D15" i="21" s="1"/>
  <c r="N31" i="40" l="1"/>
  <c r="N29" i="40"/>
  <c r="AH27" i="40"/>
  <c r="AI27" i="40" s="1"/>
  <c r="H53" i="40"/>
  <c r="H66" i="40" s="1"/>
  <c r="I31" i="40"/>
  <c r="G31" i="40"/>
  <c r="S31" i="40"/>
  <c r="S29" i="40"/>
  <c r="AA31" i="40"/>
  <c r="AA29" i="40"/>
  <c r="R31" i="40"/>
  <c r="R29" i="40"/>
  <c r="V31" i="40"/>
  <c r="V29" i="40"/>
  <c r="Y31" i="40"/>
  <c r="Y29" i="40"/>
  <c r="X31" i="40"/>
  <c r="X29" i="40"/>
  <c r="Z31" i="40"/>
  <c r="Z29" i="40"/>
  <c r="AB31" i="40"/>
  <c r="AB29" i="40"/>
  <c r="P31" i="40"/>
  <c r="P29" i="40"/>
  <c r="T31" i="40"/>
  <c r="T29" i="40"/>
  <c r="U31" i="40"/>
  <c r="U29" i="40"/>
  <c r="W31" i="40"/>
  <c r="W29" i="40"/>
  <c r="Q31" i="40"/>
  <c r="Q29" i="40"/>
  <c r="H29" i="40"/>
  <c r="H31" i="40"/>
  <c r="I29" i="40"/>
  <c r="E10" i="21"/>
  <c r="AB8" i="25"/>
  <c r="AB23" i="25" s="1"/>
  <c r="S10" i="25"/>
  <c r="S25" i="25" s="1"/>
  <c r="M10" i="25"/>
  <c r="M25" i="25" s="1"/>
  <c r="Q10" i="25"/>
  <c r="Q25" i="25" s="1"/>
  <c r="W10" i="25"/>
  <c r="W25" i="25" s="1"/>
  <c r="V10" i="25"/>
  <c r="V25" i="25" s="1"/>
  <c r="Z10" i="25"/>
  <c r="Z25" i="25" s="1"/>
  <c r="AD10" i="25"/>
  <c r="AD25" i="25" s="1"/>
  <c r="Y10" i="25"/>
  <c r="Y25" i="25" s="1"/>
  <c r="U10" i="25"/>
  <c r="U25" i="25" s="1"/>
  <c r="AC10" i="25"/>
  <c r="AC25" i="25" s="1"/>
  <c r="AB10" i="25"/>
  <c r="AB25" i="25" s="1"/>
  <c r="O10" i="25"/>
  <c r="O25" i="25" s="1"/>
  <c r="AA10" i="25"/>
  <c r="AA25" i="25" s="1"/>
  <c r="J12" i="26"/>
  <c r="J28" i="26"/>
  <c r="G7" i="21"/>
  <c r="X10" i="25"/>
  <c r="X25" i="25" s="1"/>
  <c r="L10" i="25"/>
  <c r="L25" i="25" s="1"/>
  <c r="W8" i="25"/>
  <c r="W23" i="25" s="1"/>
  <c r="K10" i="25"/>
  <c r="K25" i="25" s="1"/>
  <c r="X8" i="25"/>
  <c r="X23" i="25" s="1"/>
  <c r="T10" i="25"/>
  <c r="T25" i="25" s="1"/>
  <c r="P10" i="25"/>
  <c r="P25" i="25" s="1"/>
  <c r="T8" i="25"/>
  <c r="T23" i="25" s="1"/>
  <c r="N10" i="25"/>
  <c r="N25" i="25" s="1"/>
  <c r="R10" i="25"/>
  <c r="R25" i="25" s="1"/>
  <c r="AA8" i="25"/>
  <c r="AA23" i="25" s="1"/>
  <c r="J44" i="26"/>
  <c r="G10" i="25"/>
  <c r="G25" i="25" s="1"/>
  <c r="C10" i="25"/>
  <c r="C25" i="25" s="1"/>
  <c r="AD8" i="25"/>
  <c r="AD23" i="25" s="1"/>
  <c r="AC8" i="25"/>
  <c r="AC23" i="25" s="1"/>
  <c r="Y8" i="25"/>
  <c r="Y23" i="25" s="1"/>
  <c r="U8" i="25"/>
  <c r="U23" i="25" s="1"/>
  <c r="V8" i="25"/>
  <c r="V23" i="25" s="1"/>
  <c r="Z8" i="25"/>
  <c r="Z23" i="25" s="1"/>
  <c r="O8" i="25"/>
  <c r="S8" i="25"/>
  <c r="L8" i="25"/>
  <c r="J10" i="25"/>
  <c r="J25" i="25" s="1"/>
  <c r="K8" i="25"/>
  <c r="P8" i="25"/>
  <c r="D74" i="26"/>
  <c r="D58" i="26"/>
  <c r="D41" i="26"/>
  <c r="D90" i="26"/>
  <c r="D107" i="26"/>
  <c r="C74" i="26"/>
  <c r="C58" i="26"/>
  <c r="G9" i="26"/>
  <c r="G41" i="26"/>
  <c r="E58" i="26"/>
  <c r="F107" i="26"/>
  <c r="E41" i="26"/>
  <c r="G107" i="26"/>
  <c r="F58" i="26"/>
  <c r="E107" i="26"/>
  <c r="F41" i="26"/>
  <c r="H9" i="26"/>
  <c r="H107" i="26"/>
  <c r="C41" i="26"/>
  <c r="E8" i="21"/>
  <c r="E11" i="21"/>
  <c r="AI29" i="40" l="1"/>
  <c r="AI31" i="40"/>
  <c r="AH31" i="40"/>
  <c r="AH29" i="40"/>
  <c r="U57" i="40"/>
  <c r="U61" i="40"/>
  <c r="U54" i="40"/>
  <c r="V61" i="40"/>
  <c r="V54" i="40"/>
  <c r="V57" i="40"/>
  <c r="W54" i="40"/>
  <c r="W57" i="40"/>
  <c r="W61" i="40"/>
  <c r="AB54" i="40"/>
  <c r="AB57" i="40"/>
  <c r="AB61" i="40"/>
  <c r="Y57" i="40"/>
  <c r="Y61" i="40"/>
  <c r="Y54" i="40"/>
  <c r="S61" i="40"/>
  <c r="S54" i="40"/>
  <c r="S57" i="40"/>
  <c r="Q61" i="40"/>
  <c r="Q54" i="40"/>
  <c r="Q57" i="40"/>
  <c r="P54" i="40"/>
  <c r="P57" i="40"/>
  <c r="P61" i="40"/>
  <c r="X57" i="40"/>
  <c r="X61" i="40"/>
  <c r="X54" i="40"/>
  <c r="AA57" i="40"/>
  <c r="AA61" i="40"/>
  <c r="AA54" i="40"/>
  <c r="T57" i="40"/>
  <c r="T61" i="40"/>
  <c r="T54" i="40"/>
  <c r="Z54" i="40"/>
  <c r="Z61" i="40"/>
  <c r="Z57" i="40"/>
  <c r="R54" i="40"/>
  <c r="R57" i="40"/>
  <c r="R61" i="40"/>
  <c r="G29" i="40"/>
  <c r="E12" i="21"/>
  <c r="F10" i="21"/>
  <c r="C90" i="26"/>
  <c r="E10" i="25"/>
  <c r="E25" i="25" s="1"/>
  <c r="D10" i="25"/>
  <c r="D25" i="25" s="1"/>
  <c r="I10" i="25"/>
  <c r="I25" i="25" s="1"/>
  <c r="K7" i="25"/>
  <c r="K22" i="25" s="1"/>
  <c r="L7" i="25"/>
  <c r="L22" i="25" s="1"/>
  <c r="H10" i="25"/>
  <c r="H25" i="25" s="1"/>
  <c r="C8" i="25"/>
  <c r="E7" i="26"/>
  <c r="G39" i="26"/>
  <c r="G88" i="26"/>
  <c r="C56" i="26"/>
  <c r="F39" i="26"/>
  <c r="M8" i="25"/>
  <c r="R8" i="25"/>
  <c r="S23" i="25"/>
  <c r="K23" i="25"/>
  <c r="L23" i="25"/>
  <c r="P23" i="25"/>
  <c r="Q8" i="25"/>
  <c r="O23" i="25"/>
  <c r="N8" i="25"/>
  <c r="D25" i="26"/>
  <c r="D9" i="26"/>
  <c r="I58" i="26"/>
  <c r="J58" i="26" s="1"/>
  <c r="C9" i="26"/>
  <c r="C25" i="26"/>
  <c r="E9" i="26"/>
  <c r="F74" i="26"/>
  <c r="G90" i="26"/>
  <c r="F9" i="26"/>
  <c r="F25" i="26"/>
  <c r="G74" i="26"/>
  <c r="E74" i="26"/>
  <c r="E90" i="26"/>
  <c r="F90" i="26"/>
  <c r="I107" i="26"/>
  <c r="J107" i="26" s="1"/>
  <c r="H41" i="26"/>
  <c r="I41" i="26" s="1"/>
  <c r="H74" i="26"/>
  <c r="C72" i="26"/>
  <c r="C109" i="26"/>
  <c r="C60" i="26"/>
  <c r="C43" i="26"/>
  <c r="C27" i="26"/>
  <c r="C11" i="26"/>
  <c r="H90" i="26"/>
  <c r="E25" i="26"/>
  <c r="G8" i="21"/>
  <c r="F8" i="21"/>
  <c r="F11" i="21"/>
  <c r="E13" i="21"/>
  <c r="F12" i="21"/>
  <c r="Z59" i="40" l="1"/>
  <c r="Z63" i="40"/>
  <c r="AA59" i="40"/>
  <c r="AA63" i="40"/>
  <c r="P63" i="40"/>
  <c r="P59" i="40"/>
  <c r="R63" i="40"/>
  <c r="R59" i="40"/>
  <c r="T63" i="40"/>
  <c r="T59" i="40"/>
  <c r="S63" i="40"/>
  <c r="S59" i="40"/>
  <c r="W59" i="40"/>
  <c r="W63" i="40"/>
  <c r="U63" i="40"/>
  <c r="U59" i="40"/>
  <c r="Q59" i="40"/>
  <c r="Q63" i="40"/>
  <c r="AB63" i="40"/>
  <c r="AB59" i="40"/>
  <c r="X63" i="40"/>
  <c r="X59" i="40"/>
  <c r="Y63" i="40"/>
  <c r="Y59" i="40"/>
  <c r="V59" i="40"/>
  <c r="V63" i="40"/>
  <c r="G10" i="21"/>
  <c r="U7" i="25"/>
  <c r="U22" i="25" s="1"/>
  <c r="AB7" i="25"/>
  <c r="AB22" i="25" s="1"/>
  <c r="Q7" i="25"/>
  <c r="Q22" i="25" s="1"/>
  <c r="Z7" i="25"/>
  <c r="Z22" i="25" s="1"/>
  <c r="S7" i="25"/>
  <c r="S22" i="25" s="1"/>
  <c r="M7" i="25"/>
  <c r="M22" i="25" s="1"/>
  <c r="W7" i="25"/>
  <c r="W22" i="25" s="1"/>
  <c r="V7" i="25"/>
  <c r="V22" i="25" s="1"/>
  <c r="O7" i="25"/>
  <c r="O22" i="25" s="1"/>
  <c r="J41" i="26"/>
  <c r="AF10" i="25"/>
  <c r="AA7" i="25"/>
  <c r="AA22" i="25" s="1"/>
  <c r="AD7" i="25"/>
  <c r="AD22" i="25" s="1"/>
  <c r="R7" i="25"/>
  <c r="R22" i="25" s="1"/>
  <c r="AC7" i="25"/>
  <c r="AC22" i="25" s="1"/>
  <c r="N7" i="25"/>
  <c r="N22" i="25" s="1"/>
  <c r="T7" i="25"/>
  <c r="T22" i="25" s="1"/>
  <c r="X7" i="25"/>
  <c r="X22" i="25" s="1"/>
  <c r="P7" i="25"/>
  <c r="P22" i="25" s="1"/>
  <c r="Y7" i="25"/>
  <c r="Y22" i="25" s="1"/>
  <c r="G12" i="25"/>
  <c r="C12" i="25"/>
  <c r="G8" i="25"/>
  <c r="G23" i="25" s="1"/>
  <c r="F8" i="25"/>
  <c r="F23" i="25" s="1"/>
  <c r="I7" i="25"/>
  <c r="I22" i="25" s="1"/>
  <c r="H87" i="26"/>
  <c r="C22" i="26"/>
  <c r="G22" i="26"/>
  <c r="F22" i="26"/>
  <c r="H22" i="26"/>
  <c r="E22" i="26"/>
  <c r="C87" i="26"/>
  <c r="E87" i="26"/>
  <c r="C71" i="26"/>
  <c r="G71" i="26"/>
  <c r="F71" i="26"/>
  <c r="E71" i="26"/>
  <c r="G87" i="26"/>
  <c r="H71" i="26"/>
  <c r="F87" i="26"/>
  <c r="H7" i="25"/>
  <c r="H22" i="25" s="1"/>
  <c r="G105" i="26"/>
  <c r="E88" i="26"/>
  <c r="H72" i="26"/>
  <c r="D39" i="26"/>
  <c r="E105" i="26"/>
  <c r="J8" i="25"/>
  <c r="J23" i="25" s="1"/>
  <c r="D72" i="26"/>
  <c r="D23" i="26"/>
  <c r="E72" i="26"/>
  <c r="C23" i="25"/>
  <c r="D7" i="26"/>
  <c r="F72" i="26"/>
  <c r="C105" i="26"/>
  <c r="H23" i="26"/>
  <c r="C23" i="26"/>
  <c r="C7" i="26"/>
  <c r="G72" i="26"/>
  <c r="N23" i="25"/>
  <c r="G23" i="26"/>
  <c r="F23" i="26"/>
  <c r="F88" i="26"/>
  <c r="G7" i="26"/>
  <c r="R23" i="25"/>
  <c r="H7" i="26"/>
  <c r="F105" i="26"/>
  <c r="C88" i="26"/>
  <c r="D88" i="26"/>
  <c r="H105" i="26"/>
  <c r="E23" i="26"/>
  <c r="C39" i="26"/>
  <c r="E56" i="26"/>
  <c r="G56" i="26"/>
  <c r="D105" i="26"/>
  <c r="H88" i="26"/>
  <c r="M23" i="25"/>
  <c r="F56" i="26"/>
  <c r="H39" i="26"/>
  <c r="H56" i="26"/>
  <c r="F7" i="26"/>
  <c r="E39" i="26"/>
  <c r="D56" i="26"/>
  <c r="Q23" i="25"/>
  <c r="H27" i="26"/>
  <c r="G43" i="26"/>
  <c r="J12" i="25"/>
  <c r="D11" i="26"/>
  <c r="G27" i="26"/>
  <c r="F43" i="26"/>
  <c r="H60" i="26"/>
  <c r="E109" i="26"/>
  <c r="H11" i="26"/>
  <c r="D43" i="26"/>
  <c r="G60" i="26"/>
  <c r="E60" i="26"/>
  <c r="G109" i="26"/>
  <c r="E11" i="26"/>
  <c r="F11" i="26"/>
  <c r="E27" i="26"/>
  <c r="H43" i="26"/>
  <c r="F60" i="26"/>
  <c r="H109" i="26"/>
  <c r="G11" i="26"/>
  <c r="F27" i="26"/>
  <c r="D27" i="26"/>
  <c r="E43" i="26"/>
  <c r="D60" i="26"/>
  <c r="F109" i="26"/>
  <c r="D109" i="26"/>
  <c r="I9" i="26"/>
  <c r="J9" i="26" s="1"/>
  <c r="G25" i="26"/>
  <c r="H25" i="26"/>
  <c r="I74" i="26"/>
  <c r="J74" i="26" s="1"/>
  <c r="I90" i="26"/>
  <c r="J90" i="26" s="1"/>
  <c r="C76" i="26"/>
  <c r="G13" i="21"/>
  <c r="G11" i="21"/>
  <c r="F13" i="21"/>
  <c r="G12" i="21"/>
  <c r="H11" i="25" l="1"/>
  <c r="H26" i="25" s="1"/>
  <c r="AA11" i="25"/>
  <c r="Q11" i="25"/>
  <c r="M11" i="25"/>
  <c r="AD11" i="25"/>
  <c r="AB11" i="25"/>
  <c r="V11" i="25"/>
  <c r="J11" i="25"/>
  <c r="J26" i="25" s="1"/>
  <c r="W11" i="25"/>
  <c r="S11" i="25"/>
  <c r="Z11" i="25"/>
  <c r="Y11" i="25"/>
  <c r="U11" i="25"/>
  <c r="K11" i="25"/>
  <c r="O11" i="25"/>
  <c r="C11" i="25"/>
  <c r="C26" i="25" s="1"/>
  <c r="F12" i="25"/>
  <c r="F27" i="25" s="1"/>
  <c r="E12" i="25"/>
  <c r="E27" i="25" s="1"/>
  <c r="D12" i="25"/>
  <c r="D27" i="25" s="1"/>
  <c r="G24" i="26"/>
  <c r="H12" i="25"/>
  <c r="H27" i="25" s="1"/>
  <c r="C73" i="26"/>
  <c r="C24" i="26"/>
  <c r="D7" i="25"/>
  <c r="D22" i="25" s="1"/>
  <c r="C10" i="26"/>
  <c r="E10" i="26"/>
  <c r="E8" i="25"/>
  <c r="E23" i="25" s="1"/>
  <c r="H8" i="25"/>
  <c r="H23" i="25" s="1"/>
  <c r="I8" i="25"/>
  <c r="I23" i="25" s="1"/>
  <c r="D8" i="25"/>
  <c r="D23" i="25" s="1"/>
  <c r="I72" i="26"/>
  <c r="D71" i="26"/>
  <c r="I71" i="26" s="1"/>
  <c r="J71" i="26" s="1"/>
  <c r="D91" i="26"/>
  <c r="H42" i="26"/>
  <c r="G26" i="26"/>
  <c r="E91" i="26"/>
  <c r="E89" i="26"/>
  <c r="I105" i="26"/>
  <c r="J105" i="26" s="1"/>
  <c r="I88" i="26"/>
  <c r="I7" i="26"/>
  <c r="J7" i="26" s="1"/>
  <c r="M14" i="25"/>
  <c r="M29" i="25" s="1"/>
  <c r="R11" i="25"/>
  <c r="L11" i="25"/>
  <c r="K14" i="25"/>
  <c r="K29" i="25" s="1"/>
  <c r="T14" i="25"/>
  <c r="T29" i="25" s="1"/>
  <c r="L14" i="25"/>
  <c r="L29" i="25" s="1"/>
  <c r="D57" i="26"/>
  <c r="I23" i="26"/>
  <c r="O14" i="25"/>
  <c r="O29" i="25" s="1"/>
  <c r="P11" i="25"/>
  <c r="H57" i="26"/>
  <c r="C59" i="26"/>
  <c r="I56" i="26"/>
  <c r="J56" i="26" s="1"/>
  <c r="AA14" i="25"/>
  <c r="AA29" i="25" s="1"/>
  <c r="AD14" i="25"/>
  <c r="AD29" i="25" s="1"/>
  <c r="X11" i="25"/>
  <c r="G40" i="26"/>
  <c r="I39" i="26"/>
  <c r="Z14" i="25"/>
  <c r="Z29" i="25" s="1"/>
  <c r="V14" i="25"/>
  <c r="V29" i="25" s="1"/>
  <c r="T11" i="25"/>
  <c r="Y14" i="25"/>
  <c r="Y29" i="25" s="1"/>
  <c r="AB14" i="25"/>
  <c r="AB29" i="25" s="1"/>
  <c r="P14" i="25"/>
  <c r="P29" i="25" s="1"/>
  <c r="N14" i="25"/>
  <c r="N29" i="25" s="1"/>
  <c r="N11" i="25"/>
  <c r="H73" i="26"/>
  <c r="H24" i="26"/>
  <c r="U14" i="25"/>
  <c r="U29" i="25" s="1"/>
  <c r="R14" i="25"/>
  <c r="R29" i="25" s="1"/>
  <c r="X14" i="25"/>
  <c r="X29" i="25" s="1"/>
  <c r="S14" i="25"/>
  <c r="S29" i="25" s="1"/>
  <c r="AC14" i="25"/>
  <c r="AC29" i="25" s="1"/>
  <c r="AC11" i="25"/>
  <c r="I27" i="26"/>
  <c r="I11" i="26"/>
  <c r="J11" i="26" s="1"/>
  <c r="G76" i="26"/>
  <c r="D76" i="26"/>
  <c r="G92" i="26"/>
  <c r="G27" i="25"/>
  <c r="F76" i="26"/>
  <c r="I109" i="26"/>
  <c r="J109" i="26" s="1"/>
  <c r="I60" i="26"/>
  <c r="J60" i="26" s="1"/>
  <c r="I43" i="26"/>
  <c r="C27" i="25"/>
  <c r="J27" i="25"/>
  <c r="C92" i="26"/>
  <c r="I25" i="26"/>
  <c r="J25" i="26" s="1"/>
  <c r="F93" i="26"/>
  <c r="C77" i="26"/>
  <c r="C108" i="26"/>
  <c r="D11" i="25" l="1"/>
  <c r="D26" i="25" s="1"/>
  <c r="E11" i="25"/>
  <c r="F11" i="25"/>
  <c r="F26" i="25" s="1"/>
  <c r="J88" i="26"/>
  <c r="I11" i="25"/>
  <c r="I26" i="25" s="1"/>
  <c r="I12" i="25"/>
  <c r="I27" i="25" s="1"/>
  <c r="J27" i="26"/>
  <c r="J43" i="26"/>
  <c r="G73" i="26"/>
  <c r="E40" i="26"/>
  <c r="E6" i="21"/>
  <c r="E15" i="21" s="1"/>
  <c r="G9" i="25"/>
  <c r="G24" i="25" s="1"/>
  <c r="G11" i="25"/>
  <c r="G26" i="25" s="1"/>
  <c r="F9" i="25"/>
  <c r="F24" i="25" s="1"/>
  <c r="D22" i="26"/>
  <c r="I22" i="26" s="1"/>
  <c r="J22" i="26" s="1"/>
  <c r="D87" i="26"/>
  <c r="I87" i="26" s="1"/>
  <c r="J87" i="26" s="1"/>
  <c r="J39" i="26"/>
  <c r="G10" i="26"/>
  <c r="G89" i="26"/>
  <c r="H8" i="26"/>
  <c r="D10" i="26"/>
  <c r="J72" i="26"/>
  <c r="AF8" i="25"/>
  <c r="F91" i="26"/>
  <c r="H10" i="26"/>
  <c r="D59" i="26"/>
  <c r="F10" i="26"/>
  <c r="G31" i="26"/>
  <c r="J23" i="26"/>
  <c r="I9" i="25"/>
  <c r="I24" i="25" s="1"/>
  <c r="D89" i="26"/>
  <c r="C40" i="26"/>
  <c r="M26" i="25"/>
  <c r="M30" i="25" s="1"/>
  <c r="M16" i="25"/>
  <c r="M17" i="25" s="1"/>
  <c r="F8" i="26"/>
  <c r="H108" i="26"/>
  <c r="E24" i="26"/>
  <c r="V26" i="25"/>
  <c r="V30" i="25" s="1"/>
  <c r="V16" i="25"/>
  <c r="V17" i="25" s="1"/>
  <c r="N26" i="25"/>
  <c r="N30" i="25" s="1"/>
  <c r="N16" i="25"/>
  <c r="N17" i="25" s="1"/>
  <c r="D73" i="26"/>
  <c r="C91" i="26"/>
  <c r="H26" i="26"/>
  <c r="H31" i="26" s="1"/>
  <c r="E26" i="26"/>
  <c r="Q26" i="25"/>
  <c r="F89" i="26"/>
  <c r="D40" i="26"/>
  <c r="D108" i="26"/>
  <c r="G108" i="26"/>
  <c r="E8" i="26"/>
  <c r="C75" i="26"/>
  <c r="C80" i="26" s="1"/>
  <c r="T26" i="25"/>
  <c r="T30" i="25" s="1"/>
  <c r="T16" i="25"/>
  <c r="T17" i="25" s="1"/>
  <c r="F26" i="26"/>
  <c r="AD26" i="25"/>
  <c r="AD30" i="25" s="1"/>
  <c r="AD16" i="25"/>
  <c r="AD17" i="25" s="1"/>
  <c r="F75" i="26"/>
  <c r="U26" i="25"/>
  <c r="U30" i="25" s="1"/>
  <c r="U16" i="25"/>
  <c r="U17" i="25" s="1"/>
  <c r="W26" i="25"/>
  <c r="H91" i="26"/>
  <c r="C8" i="26"/>
  <c r="E57" i="26"/>
  <c r="O26" i="25"/>
  <c r="O30" i="25" s="1"/>
  <c r="O16" i="25"/>
  <c r="O17" i="25" s="1"/>
  <c r="H59" i="26"/>
  <c r="H75" i="26"/>
  <c r="F59" i="26"/>
  <c r="D8" i="26"/>
  <c r="H40" i="26"/>
  <c r="F106" i="26"/>
  <c r="E73" i="26"/>
  <c r="E59" i="26"/>
  <c r="F42" i="26"/>
  <c r="Z26" i="25"/>
  <c r="Z30" i="25" s="1"/>
  <c r="Z16" i="25"/>
  <c r="Z17" i="25" s="1"/>
  <c r="F24" i="26"/>
  <c r="G75" i="26"/>
  <c r="AA26" i="25"/>
  <c r="AA30" i="25" s="1"/>
  <c r="AA16" i="25"/>
  <c r="AA17" i="25" s="1"/>
  <c r="Q14" i="25"/>
  <c r="Q29" i="25" s="1"/>
  <c r="J14" i="25"/>
  <c r="F40" i="26"/>
  <c r="G57" i="26"/>
  <c r="H106" i="26"/>
  <c r="E42" i="26"/>
  <c r="AC26" i="25"/>
  <c r="AC30" i="25" s="1"/>
  <c r="AC16" i="25"/>
  <c r="AC17" i="25" s="1"/>
  <c r="D75" i="26"/>
  <c r="AB26" i="25"/>
  <c r="AB30" i="25" s="1"/>
  <c r="AB16" i="25"/>
  <c r="AB17" i="25" s="1"/>
  <c r="C26" i="26"/>
  <c r="F73" i="26"/>
  <c r="D106" i="26"/>
  <c r="D42" i="26"/>
  <c r="R26" i="25"/>
  <c r="R30" i="25" s="1"/>
  <c r="R16" i="25"/>
  <c r="R17" i="25" s="1"/>
  <c r="W14" i="25"/>
  <c r="W29" i="25" s="1"/>
  <c r="J9" i="25"/>
  <c r="C9" i="25"/>
  <c r="C106" i="26"/>
  <c r="E108" i="26"/>
  <c r="G91" i="26"/>
  <c r="G42" i="26"/>
  <c r="G8" i="26"/>
  <c r="G59" i="26"/>
  <c r="Y26" i="25"/>
  <c r="Y30" i="25" s="1"/>
  <c r="Y16" i="25"/>
  <c r="Y17" i="25" s="1"/>
  <c r="X26" i="25"/>
  <c r="X30" i="25" s="1"/>
  <c r="X16" i="25"/>
  <c r="X17" i="25" s="1"/>
  <c r="P26" i="25"/>
  <c r="P30" i="25" s="1"/>
  <c r="P16" i="25"/>
  <c r="P17" i="25" s="1"/>
  <c r="S26" i="25"/>
  <c r="S30" i="25" s="1"/>
  <c r="S16" i="25"/>
  <c r="S17" i="25" s="1"/>
  <c r="L26" i="25"/>
  <c r="L30" i="25" s="1"/>
  <c r="L16" i="25"/>
  <c r="L17" i="25" s="1"/>
  <c r="H89" i="26"/>
  <c r="C57" i="26"/>
  <c r="G106" i="26"/>
  <c r="E106" i="26"/>
  <c r="F108" i="26"/>
  <c r="D26" i="26"/>
  <c r="K26" i="25"/>
  <c r="K30" i="25" s="1"/>
  <c r="K16" i="25"/>
  <c r="K17" i="25" s="1"/>
  <c r="D24" i="26"/>
  <c r="E75" i="26"/>
  <c r="D92" i="26"/>
  <c r="H92" i="26"/>
  <c r="E92" i="26"/>
  <c r="H76" i="26"/>
  <c r="E76" i="26"/>
  <c r="F92" i="26"/>
  <c r="E77" i="26"/>
  <c r="D93" i="26"/>
  <c r="G77" i="26"/>
  <c r="C93" i="26"/>
  <c r="H77" i="26"/>
  <c r="G93" i="26"/>
  <c r="H93" i="26"/>
  <c r="D77" i="26"/>
  <c r="E93" i="26"/>
  <c r="F77" i="26"/>
  <c r="C89" i="26"/>
  <c r="I13" i="25" l="1"/>
  <c r="I28" i="25" s="1"/>
  <c r="I30" i="25" s="1"/>
  <c r="F31" i="26"/>
  <c r="AF12" i="25"/>
  <c r="D9" i="25"/>
  <c r="D16" i="25" s="1"/>
  <c r="D17" i="25" s="1"/>
  <c r="E9" i="25"/>
  <c r="E24" i="25" s="1"/>
  <c r="F96" i="26"/>
  <c r="I10" i="26"/>
  <c r="J10" i="26" s="1"/>
  <c r="G80" i="26"/>
  <c r="G96" i="26"/>
  <c r="I26" i="26"/>
  <c r="J26" i="26" s="1"/>
  <c r="H9" i="25"/>
  <c r="H24" i="25" s="1"/>
  <c r="D31" i="26"/>
  <c r="I73" i="26"/>
  <c r="I89" i="26"/>
  <c r="J89" i="26" s="1"/>
  <c r="Q30" i="25"/>
  <c r="F57" i="26"/>
  <c r="I57" i="26" s="1"/>
  <c r="J57" i="26" s="1"/>
  <c r="F80" i="26"/>
  <c r="D80" i="26"/>
  <c r="H96" i="26"/>
  <c r="W30" i="25"/>
  <c r="I59" i="26"/>
  <c r="J59" i="26" s="1"/>
  <c r="C24" i="25"/>
  <c r="D111" i="26"/>
  <c r="D113" i="26" s="1"/>
  <c r="I91" i="26"/>
  <c r="J91" i="26" s="1"/>
  <c r="H111" i="26"/>
  <c r="H113" i="26" s="1"/>
  <c r="I76" i="26"/>
  <c r="J76" i="26" s="1"/>
  <c r="J24" i="25"/>
  <c r="J16" i="25"/>
  <c r="J17" i="25" s="1"/>
  <c r="J29" i="25"/>
  <c r="AF14" i="25"/>
  <c r="E31" i="26"/>
  <c r="C31" i="26"/>
  <c r="W16" i="25"/>
  <c r="W17" i="25" s="1"/>
  <c r="I108" i="26"/>
  <c r="J108" i="26" s="1"/>
  <c r="I24" i="26"/>
  <c r="I106" i="26"/>
  <c r="J106" i="26" s="1"/>
  <c r="I8" i="26"/>
  <c r="J8" i="26" s="1"/>
  <c r="Q16" i="25"/>
  <c r="Q17" i="25" s="1"/>
  <c r="G111" i="26"/>
  <c r="G113" i="26" s="1"/>
  <c r="F111" i="26"/>
  <c r="F113" i="26" s="1"/>
  <c r="C111" i="26"/>
  <c r="C113" i="26" s="1"/>
  <c r="E111" i="26"/>
  <c r="E113" i="26" s="1"/>
  <c r="I75" i="26"/>
  <c r="J75" i="26" s="1"/>
  <c r="I40" i="26"/>
  <c r="E96" i="26"/>
  <c r="D96" i="26"/>
  <c r="I92" i="26"/>
  <c r="J92" i="26" s="1"/>
  <c r="H80" i="26"/>
  <c r="E80" i="26"/>
  <c r="I77" i="26"/>
  <c r="I16" i="25"/>
  <c r="I17" i="25" s="1"/>
  <c r="I93" i="26"/>
  <c r="J93" i="26" s="1"/>
  <c r="C96" i="26"/>
  <c r="J14" i="40" l="1"/>
  <c r="J16" i="40"/>
  <c r="L14" i="40"/>
  <c r="L16" i="40"/>
  <c r="J40" i="26"/>
  <c r="J24" i="26"/>
  <c r="D24" i="25"/>
  <c r="D30" i="25" s="1"/>
  <c r="H13" i="25"/>
  <c r="J73" i="26"/>
  <c r="AF9" i="25"/>
  <c r="E26" i="25"/>
  <c r="AF11" i="25"/>
  <c r="C42" i="26"/>
  <c r="I42" i="26" s="1"/>
  <c r="J42" i="26" s="1"/>
  <c r="I111" i="26"/>
  <c r="J111" i="26" s="1"/>
  <c r="J30" i="25"/>
  <c r="M14" i="40" l="1"/>
  <c r="M16" i="40"/>
  <c r="AF13" i="25"/>
  <c r="J77" i="26"/>
  <c r="H16" i="25"/>
  <c r="H17" i="25" s="1"/>
  <c r="H28" i="25"/>
  <c r="H30" i="25" s="1"/>
  <c r="C7" i="25" l="1"/>
  <c r="C16" i="25" s="1"/>
  <c r="F38" i="26"/>
  <c r="F47" i="26" s="1"/>
  <c r="E7" i="25"/>
  <c r="G7" i="25"/>
  <c r="F7" i="25"/>
  <c r="AH14" i="40" l="1"/>
  <c r="AH16" i="40"/>
  <c r="C6" i="26"/>
  <c r="C15" i="26" s="1"/>
  <c r="C22" i="25"/>
  <c r="C30" i="25" s="1"/>
  <c r="D38" i="26"/>
  <c r="D47" i="26" s="1"/>
  <c r="E6" i="26"/>
  <c r="E15" i="26" s="1"/>
  <c r="G55" i="26"/>
  <c r="G64" i="26" s="1"/>
  <c r="E38" i="26"/>
  <c r="E47" i="26" s="1"/>
  <c r="C38" i="26"/>
  <c r="C47" i="26" s="1"/>
  <c r="C55" i="26"/>
  <c r="C64" i="26" s="1"/>
  <c r="G38" i="26"/>
  <c r="G47" i="26" s="1"/>
  <c r="F22" i="25"/>
  <c r="F30" i="25" s="1"/>
  <c r="F16" i="25"/>
  <c r="F17" i="25" s="1"/>
  <c r="G22" i="25"/>
  <c r="G30" i="25" s="1"/>
  <c r="G16" i="25"/>
  <c r="G17" i="25" s="1"/>
  <c r="D6" i="26"/>
  <c r="D15" i="26" s="1"/>
  <c r="D18" i="25"/>
  <c r="C17" i="25"/>
  <c r="E22" i="25"/>
  <c r="E30" i="25" s="1"/>
  <c r="E16" i="25"/>
  <c r="E17" i="25" s="1"/>
  <c r="H6" i="26"/>
  <c r="H15" i="26" s="1"/>
  <c r="H55" i="26"/>
  <c r="H64" i="26" s="1"/>
  <c r="H38" i="26"/>
  <c r="H47" i="26" s="1"/>
  <c r="G6" i="26"/>
  <c r="G15" i="26" s="1"/>
  <c r="F6" i="26"/>
  <c r="F15" i="26" s="1"/>
  <c r="F55" i="26"/>
  <c r="F64" i="26" s="1"/>
  <c r="E55" i="26"/>
  <c r="E64" i="26" s="1"/>
  <c r="D55" i="26"/>
  <c r="D64" i="26" s="1"/>
  <c r="I38" i="26" l="1"/>
  <c r="J38" i="26" s="1"/>
  <c r="I6" i="26"/>
  <c r="J6" i="26" s="1"/>
  <c r="I55" i="26"/>
  <c r="J55" i="26" s="1"/>
  <c r="F104" i="26"/>
  <c r="C104" i="26"/>
  <c r="F6" i="21"/>
  <c r="J7" i="25" l="1"/>
  <c r="G104" i="26"/>
  <c r="H104" i="26"/>
  <c r="E104" i="26"/>
  <c r="G6" i="21" l="1"/>
  <c r="G15" i="21" s="1"/>
  <c r="AF7" i="25"/>
  <c r="J22" i="25"/>
  <c r="D104" i="26"/>
  <c r="I104" i="26" s="1"/>
  <c r="J104" i="26" s="1"/>
  <c r="F5" i="21"/>
  <c r="F15" i="21" l="1"/>
  <c r="H11" i="40" l="1"/>
  <c r="G11" i="40"/>
  <c r="H61" i="40"/>
  <c r="H54" i="40" l="1"/>
  <c r="H68" i="40" s="1"/>
  <c r="H57" i="40"/>
  <c r="H59" i="40" l="1"/>
  <c r="H63" i="40"/>
  <c r="AF6" i="25" l="1"/>
  <c r="X35" i="51"/>
  <c r="K6" i="40"/>
  <c r="K9" i="40" l="1"/>
  <c r="K11" i="40"/>
  <c r="K53" i="40"/>
  <c r="F6" i="40"/>
  <c r="F11" i="40" l="1"/>
  <c r="K61" i="40"/>
  <c r="K57" i="40"/>
  <c r="AR119" i="51"/>
  <c r="M7" i="40" s="1"/>
  <c r="M9" i="40" l="1"/>
  <c r="AS119" i="51" l="1"/>
  <c r="O7" i="40" s="1"/>
  <c r="F7" i="40" l="1"/>
  <c r="O9" i="40"/>
  <c r="N7" i="40"/>
  <c r="N53" i="40" s="1"/>
  <c r="O53" i="40"/>
  <c r="F9" i="40" l="1"/>
  <c r="O61" i="40"/>
  <c r="O54" i="40"/>
  <c r="O57" i="40"/>
  <c r="N54" i="40"/>
  <c r="N59" i="40" s="1"/>
  <c r="N57" i="40"/>
  <c r="G54" i="40"/>
  <c r="G55" i="40"/>
  <c r="G70" i="40" s="1"/>
  <c r="G57" i="40"/>
  <c r="G66" i="40"/>
  <c r="G61" i="40"/>
  <c r="AG7" i="40"/>
  <c r="O59" i="40" l="1"/>
  <c r="O63" i="40"/>
  <c r="G59" i="40"/>
  <c r="G63" i="40"/>
  <c r="G68" i="40"/>
  <c r="AG53" i="40"/>
  <c r="AH6" i="40"/>
  <c r="AH8" i="40"/>
  <c r="AI8" i="40" l="1"/>
  <c r="AH56" i="40"/>
  <c r="AI56" i="40" s="1"/>
  <c r="AH9" i="40"/>
  <c r="AI6" i="40"/>
  <c r="AH11" i="40"/>
  <c r="AI11" i="40" l="1"/>
  <c r="AI9" i="40"/>
  <c r="AP53" i="54" l="1"/>
  <c r="L32" i="40" s="1"/>
  <c r="AN53" i="54"/>
  <c r="J32" i="40" s="1"/>
  <c r="AQ53" i="54"/>
  <c r="M32" i="40" s="1"/>
  <c r="AM53" i="54"/>
  <c r="I32" i="40" s="1"/>
  <c r="I36" i="40" s="1"/>
  <c r="F32" i="40" l="1"/>
  <c r="J53" i="40"/>
  <c r="J34" i="40"/>
  <c r="J36" i="40"/>
  <c r="X53" i="54"/>
  <c r="AA31" i="54"/>
  <c r="AA52" i="54" s="1"/>
  <c r="L34" i="40"/>
  <c r="L36" i="40"/>
  <c r="L53" i="40"/>
  <c r="M36" i="40"/>
  <c r="M53" i="40"/>
  <c r="M34" i="40"/>
  <c r="I53" i="40"/>
  <c r="I34" i="40"/>
  <c r="I54" i="40" l="1"/>
  <c r="I61" i="40"/>
  <c r="I57" i="40"/>
  <c r="I66" i="40"/>
  <c r="I55" i="40"/>
  <c r="I70" i="40" s="1"/>
  <c r="M61" i="40"/>
  <c r="M57" i="40"/>
  <c r="M66" i="40"/>
  <c r="M55" i="40"/>
  <c r="M54" i="40"/>
  <c r="J61" i="40"/>
  <c r="J66" i="40"/>
  <c r="J54" i="40"/>
  <c r="J57" i="40"/>
  <c r="L54" i="40"/>
  <c r="L61" i="40"/>
  <c r="L55" i="40"/>
  <c r="L57" i="40"/>
  <c r="L66" i="40"/>
  <c r="AH32" i="40"/>
  <c r="F53" i="40"/>
  <c r="F36" i="40"/>
  <c r="F34" i="40"/>
  <c r="F57" i="40" l="1"/>
  <c r="F54" i="40"/>
  <c r="F59" i="40" s="1"/>
  <c r="L63" i="40"/>
  <c r="L59" i="40"/>
  <c r="L68" i="40"/>
  <c r="J68" i="40"/>
  <c r="J63" i="40"/>
  <c r="J59" i="40"/>
  <c r="AH34" i="40"/>
  <c r="AH36" i="40"/>
  <c r="AI32" i="40"/>
  <c r="AH53" i="40"/>
  <c r="M59" i="40"/>
  <c r="M68" i="40"/>
  <c r="M63" i="40"/>
  <c r="I59" i="40"/>
  <c r="I63" i="40"/>
  <c r="I68" i="40"/>
  <c r="AI36" i="40" l="1"/>
  <c r="AI34" i="40"/>
  <c r="AI53" i="40"/>
  <c r="AH61" i="40"/>
  <c r="AH57" i="40"/>
  <c r="AI61" i="40" l="1"/>
  <c r="AI57"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 Evans</author>
  </authors>
  <commentList>
    <comment ref="U23" authorId="0" shapeId="0" xr:uid="{00000000-0006-0000-0400-000001000000}">
      <text>
        <r>
          <rPr>
            <b/>
            <sz val="9"/>
            <color indexed="81"/>
            <rFont val="Tahoma"/>
            <family val="2"/>
          </rPr>
          <t>Dan Evans:</t>
        </r>
        <r>
          <rPr>
            <sz val="9"/>
            <color indexed="81"/>
            <rFont val="Tahoma"/>
            <family val="2"/>
          </rPr>
          <t xml:space="preserve">
Change in phasing requested by Adam Halford as part of final review. This change is too late to feed into the SVA but I future iterations this change should be addressed here. </t>
        </r>
      </text>
    </comment>
  </commentList>
</comments>
</file>

<file path=xl/sharedStrings.xml><?xml version="1.0" encoding="utf-8"?>
<sst xmlns="http://schemas.openxmlformats.org/spreadsheetml/2006/main" count="9746" uniqueCount="2324">
  <si>
    <t>Summary by topic</t>
  </si>
  <si>
    <t>Cost</t>
  </si>
  <si>
    <t>Identified Funding</t>
  </si>
  <si>
    <t>Funding Gap</t>
  </si>
  <si>
    <t>Cost Apportioned to Sites</t>
  </si>
  <si>
    <t>Remaining Funding Gap</t>
  </si>
  <si>
    <t>Transport</t>
  </si>
  <si>
    <t>Education</t>
  </si>
  <si>
    <t>Healthcare</t>
  </si>
  <si>
    <t>Emergency Services</t>
  </si>
  <si>
    <t>Community Facilities</t>
  </si>
  <si>
    <t>Open Space</t>
  </si>
  <si>
    <t>Sports and Leisure</t>
  </si>
  <si>
    <t>Utilities</t>
  </si>
  <si>
    <t>Flood Defence</t>
  </si>
  <si>
    <t>Total</t>
  </si>
  <si>
    <t>Infrastructure Topic Totals</t>
  </si>
  <si>
    <t>Infrastructure Value Apportioned to New Garden Communities</t>
  </si>
  <si>
    <r>
      <t xml:space="preserve">Gilston Area new garden community: Villages 1-6
</t>
    </r>
    <r>
      <rPr>
        <sz val="11"/>
        <color theme="0"/>
        <rFont val="Gill Sans MT"/>
        <family val="2"/>
      </rPr>
      <t>(EHDC ref GA1)</t>
    </r>
  </si>
  <si>
    <r>
      <t xml:space="preserve">Gilston Area new garden community: Village 7
</t>
    </r>
    <r>
      <rPr>
        <sz val="11"/>
        <color theme="0"/>
        <rFont val="Gill Sans MT"/>
        <family val="2"/>
      </rPr>
      <t>(EHDC ref GA1)</t>
    </r>
  </si>
  <si>
    <r>
      <t xml:space="preserve">East of Harlow new garden community: within HDC
</t>
    </r>
    <r>
      <rPr>
        <sz val="11"/>
        <color theme="0"/>
        <rFont val="Gill Sans MT"/>
        <family val="2"/>
      </rPr>
      <t>(HDC ref HS3)</t>
    </r>
  </si>
  <si>
    <r>
      <t xml:space="preserve">East of Harlow new garden community: within EFDC
</t>
    </r>
    <r>
      <rPr>
        <sz val="11"/>
        <color theme="0"/>
        <rFont val="Gill Sans MT"/>
        <family val="2"/>
      </rPr>
      <t>(EFDC ref SP5.3)</t>
    </r>
  </si>
  <si>
    <r>
      <t xml:space="preserve">East of Harlow new Princess Alexandra Hospital: within EFDC
</t>
    </r>
    <r>
      <rPr>
        <sz val="11"/>
        <color theme="0"/>
        <rFont val="Gill Sans MT"/>
        <family val="2"/>
      </rPr>
      <t>(EFDC ref SP5.3)</t>
    </r>
  </si>
  <si>
    <r>
      <t xml:space="preserve">Water Lane Area new garden community
</t>
    </r>
    <r>
      <rPr>
        <sz val="11"/>
        <color theme="0"/>
        <rFont val="Gill Sans MT"/>
        <family val="2"/>
      </rPr>
      <t>(EFDC ref SP5.2)</t>
    </r>
  </si>
  <si>
    <r>
      <t xml:space="preserve">Latton Priory new garden community
</t>
    </r>
    <r>
      <rPr>
        <sz val="11"/>
        <color theme="0"/>
        <rFont val="Gill Sans MT"/>
        <family val="2"/>
      </rPr>
      <t>(EFDC ref SP5.1)</t>
    </r>
  </si>
  <si>
    <t>Infrastructure Value Apportioned to other Allocated Sites</t>
  </si>
  <si>
    <r>
      <t xml:space="preserve">Existing Princess Alexandra Hospital Site
</t>
    </r>
    <r>
      <rPr>
        <sz val="11"/>
        <color theme="0"/>
        <rFont val="Gill Sans MT"/>
        <family val="2"/>
      </rPr>
      <t>(HDC ref HS2.1)</t>
    </r>
  </si>
  <si>
    <r>
      <t xml:space="preserve">The Stow Service Bays
</t>
    </r>
    <r>
      <rPr>
        <sz val="11"/>
        <color theme="0"/>
        <rFont val="Gill Sans MT"/>
        <family val="2"/>
      </rPr>
      <t>(HDC ref HS2.2)</t>
    </r>
  </si>
  <si>
    <r>
      <t xml:space="preserve">Staple Tye Mews, Staple Tye Depot and The Gateway Nursery
</t>
    </r>
    <r>
      <rPr>
        <sz val="11"/>
        <color theme="0"/>
        <rFont val="Gill Sans MT"/>
        <family val="2"/>
      </rPr>
      <t>(HDC ref HS2.3)</t>
    </r>
  </si>
  <si>
    <r>
      <t xml:space="preserve">Riddings Lane
</t>
    </r>
    <r>
      <rPr>
        <sz val="11"/>
        <color theme="0"/>
        <rFont val="Gill Sans MT"/>
        <family val="2"/>
      </rPr>
      <t>(HDC ref HS2.4)</t>
    </r>
  </si>
  <si>
    <r>
      <t xml:space="preserve">The Evangelical Lutheran Church, Tawneys Road
</t>
    </r>
    <r>
      <rPr>
        <sz val="11"/>
        <color theme="0"/>
        <rFont val="Gill Sans MT"/>
        <family val="2"/>
      </rPr>
      <t>(HDC ref HS2.5)</t>
    </r>
  </si>
  <si>
    <r>
      <t xml:space="preserve">Pollard Hatch Plus Garages and Adjacent Land
</t>
    </r>
    <r>
      <rPr>
        <sz val="11"/>
        <color theme="0"/>
        <rFont val="Gill Sans MT"/>
        <family val="2"/>
      </rPr>
      <t>(HDC ref HS2.6)</t>
    </r>
  </si>
  <si>
    <r>
      <t xml:space="preserve">Coppice Hatch and Garages
</t>
    </r>
    <r>
      <rPr>
        <sz val="11"/>
        <color theme="0"/>
        <rFont val="Gill Sans MT"/>
        <family val="2"/>
      </rPr>
      <t>(HDC ref HS2.7)</t>
    </r>
  </si>
  <si>
    <r>
      <t xml:space="preserve">Sherards House
</t>
    </r>
    <r>
      <rPr>
        <sz val="11"/>
        <color theme="0"/>
        <rFont val="Gill Sans MT"/>
        <family val="2"/>
      </rPr>
      <t>(HDC ref HS2.8)</t>
    </r>
  </si>
  <si>
    <r>
      <t xml:space="preserve">Elm Hatch and Public House
</t>
    </r>
    <r>
      <rPr>
        <sz val="11"/>
        <color theme="0"/>
        <rFont val="Gill Sans MT"/>
        <family val="2"/>
      </rPr>
      <t>(HDC ref HS2.9)</t>
    </r>
  </si>
  <si>
    <r>
      <t xml:space="preserve">Fishers Hatch
</t>
    </r>
    <r>
      <rPr>
        <sz val="11"/>
        <color theme="0"/>
        <rFont val="Gill Sans MT"/>
        <family val="2"/>
      </rPr>
      <t>(HDC ref HS2.10)</t>
    </r>
  </si>
  <si>
    <r>
      <t xml:space="preserve">Slacksbury Hatch and Associated Garages
</t>
    </r>
    <r>
      <rPr>
        <sz val="11"/>
        <color theme="0"/>
        <rFont val="Gill Sans MT"/>
        <family val="2"/>
      </rPr>
      <t>(HDC ref HS2.11)</t>
    </r>
  </si>
  <si>
    <r>
      <t xml:space="preserve">Garage Blocks Adjacent to Nicholls Tower
</t>
    </r>
    <r>
      <rPr>
        <sz val="11"/>
        <color theme="0"/>
        <rFont val="Gill Sans MT"/>
        <family val="2"/>
      </rPr>
      <t>(HDC ref HS2.12)</t>
    </r>
  </si>
  <si>
    <r>
      <t xml:space="preserve">Stewards Farm
</t>
    </r>
    <r>
      <rPr>
        <sz val="11"/>
        <color theme="0"/>
        <rFont val="Gill Sans MT"/>
        <family val="2"/>
      </rPr>
      <t>(HDC ref HS2.13)</t>
    </r>
  </si>
  <si>
    <r>
      <t xml:space="preserve">Pypers Hatch
</t>
    </r>
    <r>
      <rPr>
        <sz val="11"/>
        <color theme="0"/>
        <rFont val="Gill Sans MT"/>
        <family val="2"/>
      </rPr>
      <t>(HDC ref HS2.14)</t>
    </r>
  </si>
  <si>
    <t>Potential development in HDC Town Centre Masterplan Framework</t>
  </si>
  <si>
    <t>Other HGGT Windfall developments</t>
  </si>
  <si>
    <t>Developments outside HGGT</t>
  </si>
  <si>
    <t>Estimated value HGGT RIF</t>
  </si>
  <si>
    <t>Estimated Funding Gap after allocations, windfall, external contributions and RIF</t>
  </si>
  <si>
    <t>Gap as % of total</t>
  </si>
  <si>
    <t>Infrastructure Topics</t>
  </si>
  <si>
    <t>&gt;&gt;&gt;&gt;&gt;</t>
  </si>
  <si>
    <t>Hospital / Health Campus</t>
  </si>
  <si>
    <t>INFRASTRUCTURE COSTS BY TOPIC BY SITE (INCLUDING COMPARISON BETWEEN 2022 UPDATE, 2019 PUBLISHED AND 2019 RISK ADJUSTED COSTS)</t>
  </si>
  <si>
    <t>A1</t>
  </si>
  <si>
    <t>Transport 2022</t>
  </si>
  <si>
    <t>A2</t>
  </si>
  <si>
    <t>Transport RIF 2022</t>
  </si>
  <si>
    <t>A3</t>
  </si>
  <si>
    <t>Transport 2019</t>
  </si>
  <si>
    <t>A4</t>
  </si>
  <si>
    <t>Difference (2022-2019)</t>
  </si>
  <si>
    <t>A5</t>
  </si>
  <si>
    <t>Transport 2019 +Risk</t>
  </si>
  <si>
    <t>A6</t>
  </si>
  <si>
    <t>Difference (2022-2019+Risk)</t>
  </si>
  <si>
    <t>B1</t>
  </si>
  <si>
    <t>Education 2022</t>
  </si>
  <si>
    <t>B2</t>
  </si>
  <si>
    <t>Education 2019</t>
  </si>
  <si>
    <t>B3</t>
  </si>
  <si>
    <t>B4</t>
  </si>
  <si>
    <t>Education 2019 +Risk</t>
  </si>
  <si>
    <t>B5</t>
  </si>
  <si>
    <t>C1</t>
  </si>
  <si>
    <t>Healthcare 2022</t>
  </si>
  <si>
    <t>C2</t>
  </si>
  <si>
    <t>Healthcare 2019</t>
  </si>
  <si>
    <t>C3</t>
  </si>
  <si>
    <t>C4</t>
  </si>
  <si>
    <t>Healthcare 2019 +Risk</t>
  </si>
  <si>
    <t>C5</t>
  </si>
  <si>
    <t>D1</t>
  </si>
  <si>
    <t>Emergency Services 2022</t>
  </si>
  <si>
    <t>D2</t>
  </si>
  <si>
    <t>Emergency Services 2019</t>
  </si>
  <si>
    <t>D3</t>
  </si>
  <si>
    <t>D4</t>
  </si>
  <si>
    <t>Emergency Services 2019 +Risk</t>
  </si>
  <si>
    <t>D5</t>
  </si>
  <si>
    <t>E1</t>
  </si>
  <si>
    <t>Community Facilities 2022</t>
  </si>
  <si>
    <t>E2</t>
  </si>
  <si>
    <t>Community Facilities 2019</t>
  </si>
  <si>
    <t>E3</t>
  </si>
  <si>
    <t>E4</t>
  </si>
  <si>
    <t>Community Facilities 2019 +Risk</t>
  </si>
  <si>
    <t>E5</t>
  </si>
  <si>
    <t>F1</t>
  </si>
  <si>
    <t>Open Space 2022</t>
  </si>
  <si>
    <t>F2</t>
  </si>
  <si>
    <t>Open Space 2019</t>
  </si>
  <si>
    <t>F3</t>
  </si>
  <si>
    <t>F4</t>
  </si>
  <si>
    <t>Open Space 2019 +Risk</t>
  </si>
  <si>
    <t>F5</t>
  </si>
  <si>
    <t>G1</t>
  </si>
  <si>
    <t>Sports and Leisure 2022</t>
  </si>
  <si>
    <t>G2</t>
  </si>
  <si>
    <t>Sports and Leisure 2019</t>
  </si>
  <si>
    <t>G3</t>
  </si>
  <si>
    <t>G4</t>
  </si>
  <si>
    <t>Sports and Leisure 2019 +Risk</t>
  </si>
  <si>
    <t>G5</t>
  </si>
  <si>
    <t>H1</t>
  </si>
  <si>
    <t>Utilities 2022</t>
  </si>
  <si>
    <t>H2</t>
  </si>
  <si>
    <t>Utilities 2019</t>
  </si>
  <si>
    <t>H3</t>
  </si>
  <si>
    <t>H4</t>
  </si>
  <si>
    <t>Utilities 2019 +Risk</t>
  </si>
  <si>
    <t>H5</t>
  </si>
  <si>
    <t>I1</t>
  </si>
  <si>
    <t>Flood Defence 2022</t>
  </si>
  <si>
    <t>I2</t>
  </si>
  <si>
    <t>Flood Defence 2019</t>
  </si>
  <si>
    <t>I3</t>
  </si>
  <si>
    <t>I4</t>
  </si>
  <si>
    <t>Flood Defence 2019 +Risk</t>
  </si>
  <si>
    <t>I5</t>
  </si>
  <si>
    <t>INFRASTRUCTURE COSTS TOTAL BY SITE (INCLUDING COMPARISON BETWEEN 2022 UPDATE, 2019 PUBLISHED AND 2019 RISK ADJUSTED COSTS)</t>
  </si>
  <si>
    <t>J1</t>
  </si>
  <si>
    <t>TOTAL</t>
  </si>
  <si>
    <t>J2</t>
  </si>
  <si>
    <t>COST PER HOME</t>
  </si>
  <si>
    <t>J3</t>
  </si>
  <si>
    <t>COST PER HOME
(PER NEW GARDEN COMMUNITY)</t>
  </si>
  <si>
    <t>J4</t>
  </si>
  <si>
    <t>TOTAL 2019</t>
  </si>
  <si>
    <t>J5</t>
  </si>
  <si>
    <t>DIFFERENCE TOTAL
(2022-2019)</t>
  </si>
  <si>
    <t>J6</t>
  </si>
  <si>
    <t>COST PER HOME 2019</t>
  </si>
  <si>
    <t>J7</t>
  </si>
  <si>
    <t>DIFFERENCE COST PER HOME
(2022-2019)</t>
  </si>
  <si>
    <t>J8</t>
  </si>
  <si>
    <t>TOTAL 2019 +Risk</t>
  </si>
  <si>
    <t>J9</t>
  </si>
  <si>
    <t>DIFFERENCE TOTAL
(2022-2019+Risk)</t>
  </si>
  <si>
    <t>J10</t>
  </si>
  <si>
    <t>COST PER HOME 2019+Risk</t>
  </si>
  <si>
    <t>J11</t>
  </si>
  <si>
    <t>DIFFERENCE COST PER HOME
(2022-2019+Risk)</t>
  </si>
  <si>
    <t>INFRASTRUCTURE COSTS TOTAL BY NEW GARDEN COMMUNITIES ONLY WITH COMPARISON AGAINST 2019 STRATEGIC VIABILITY COSTS (INCLUDED ADDED RISK BUT EXCLUDED ALL ON-SITE OPEN SPACE COSTS)</t>
  </si>
  <si>
    <t>K1</t>
  </si>
  <si>
    <t>COSTS ASSUMED IN 2019 VIABILITY
(excluding Open Space)</t>
  </si>
  <si>
    <t>K2</t>
  </si>
  <si>
    <t>DIFFERENCE TOTAL
( 2022 (BF) - VIABILITY (BI) )</t>
  </si>
  <si>
    <t>K3</t>
  </si>
  <si>
    <t>COST PER HOME IN 2019 VIABILITY
(excluding Open Space)</t>
  </si>
  <si>
    <t>K4</t>
  </si>
  <si>
    <t>DIFFERENCE COST PER HOME
( 2022 (BG) - VIABILITY (BK) )</t>
  </si>
  <si>
    <t>K5</t>
  </si>
  <si>
    <t>COST PER HOME (excluding Open Space)
(PER NEW GARDEN COMMUNITY)</t>
  </si>
  <si>
    <t>K6</t>
  </si>
  <si>
    <t>DIFFERENCE COST PER HOME
( 2022 (BH) - VIABILITY (BM) )</t>
  </si>
  <si>
    <t>K7</t>
  </si>
  <si>
    <t>2019 VIABILITY TIPPING POINT
(Note: Gilston Area V1-6 modelled as separate villages)</t>
  </si>
  <si>
    <r>
      <rPr>
        <sz val="11"/>
        <color theme="1"/>
        <rFont val="Gill Sans MT"/>
        <family val="2"/>
      </rPr>
      <t xml:space="preserve">between </t>
    </r>
    <r>
      <rPr>
        <b/>
        <sz val="11"/>
        <color theme="1"/>
        <rFont val="Gill Sans MT"/>
        <family val="2"/>
      </rPr>
      <t>£60,000</t>
    </r>
    <r>
      <rPr>
        <sz val="11"/>
        <color theme="1"/>
        <rFont val="Gill Sans MT"/>
        <family val="2"/>
      </rPr>
      <t xml:space="preserve"> and </t>
    </r>
    <r>
      <rPr>
        <b/>
        <sz val="11"/>
        <color theme="1"/>
        <rFont val="Gill Sans MT"/>
        <family val="2"/>
      </rPr>
      <t>£70,000+</t>
    </r>
  </si>
  <si>
    <r>
      <rPr>
        <sz val="11"/>
        <color theme="1"/>
        <rFont val="Gill Sans MT"/>
        <family val="2"/>
      </rPr>
      <t xml:space="preserve">between </t>
    </r>
    <r>
      <rPr>
        <b/>
        <sz val="11"/>
        <color theme="1"/>
        <rFont val="Gill Sans MT"/>
        <family val="2"/>
      </rPr>
      <t>£57,500</t>
    </r>
    <r>
      <rPr>
        <sz val="11"/>
        <color theme="1"/>
        <rFont val="Gill Sans MT"/>
        <family val="2"/>
      </rPr>
      <t xml:space="preserve"> and </t>
    </r>
    <r>
      <rPr>
        <b/>
        <sz val="11"/>
        <color theme="1"/>
        <rFont val="Gill Sans MT"/>
        <family val="2"/>
      </rPr>
      <t>£70,000+</t>
    </r>
  </si>
  <si>
    <r>
      <rPr>
        <sz val="11"/>
        <color theme="1"/>
        <rFont val="Gill Sans MT"/>
        <family val="2"/>
      </rPr>
      <t xml:space="preserve">between </t>
    </r>
    <r>
      <rPr>
        <b/>
        <sz val="11"/>
        <color theme="1"/>
        <rFont val="Gill Sans MT"/>
        <family val="2"/>
      </rPr>
      <t>£52,000</t>
    </r>
    <r>
      <rPr>
        <sz val="11"/>
        <color theme="1"/>
        <rFont val="Gill Sans MT"/>
        <family val="2"/>
      </rPr>
      <t xml:space="preserve"> and </t>
    </r>
    <r>
      <rPr>
        <b/>
        <sz val="11"/>
        <color theme="1"/>
        <rFont val="Gill Sans MT"/>
        <family val="2"/>
      </rPr>
      <t>£70,000+</t>
    </r>
  </si>
  <si>
    <r>
      <rPr>
        <sz val="11"/>
        <color theme="1"/>
        <rFont val="Gill Sans MT"/>
        <family val="2"/>
      </rPr>
      <t xml:space="preserve">between </t>
    </r>
    <r>
      <rPr>
        <b/>
        <sz val="11"/>
        <color theme="1"/>
        <rFont val="Gill Sans MT"/>
        <family val="2"/>
      </rPr>
      <t>£35,000</t>
    </r>
    <r>
      <rPr>
        <sz val="11"/>
        <color theme="1"/>
        <rFont val="Gill Sans MT"/>
        <family val="2"/>
      </rPr>
      <t xml:space="preserve"> and </t>
    </r>
    <r>
      <rPr>
        <b/>
        <sz val="11"/>
        <color theme="1"/>
        <rFont val="Gill Sans MT"/>
        <family val="2"/>
      </rPr>
      <t>£52,500+</t>
    </r>
  </si>
  <si>
    <r>
      <rPr>
        <sz val="11"/>
        <color theme="1"/>
        <rFont val="Gill Sans MT"/>
        <family val="2"/>
      </rPr>
      <t xml:space="preserve">between </t>
    </r>
    <r>
      <rPr>
        <b/>
        <sz val="11"/>
        <color theme="1"/>
        <rFont val="Gill Sans MT"/>
        <family val="2"/>
      </rPr>
      <t>£25,000</t>
    </r>
    <r>
      <rPr>
        <sz val="11"/>
        <color theme="1"/>
        <rFont val="Gill Sans MT"/>
        <family val="2"/>
      </rPr>
      <t xml:space="preserve"> and </t>
    </r>
    <r>
      <rPr>
        <b/>
        <sz val="11"/>
        <color theme="1"/>
        <rFont val="Gill Sans MT"/>
        <family val="2"/>
      </rPr>
      <t>£57,500+</t>
    </r>
  </si>
  <si>
    <r>
      <rPr>
        <sz val="11"/>
        <color theme="1"/>
        <rFont val="Gill Sans MT"/>
        <family val="2"/>
      </rPr>
      <t xml:space="preserve">between </t>
    </r>
    <r>
      <rPr>
        <b/>
        <sz val="11"/>
        <color theme="1"/>
        <rFont val="Gill Sans MT"/>
        <family val="2"/>
      </rPr>
      <t>£45,000</t>
    </r>
    <r>
      <rPr>
        <sz val="11"/>
        <color theme="1"/>
        <rFont val="Gill Sans MT"/>
        <family val="2"/>
      </rPr>
      <t xml:space="preserve"> and </t>
    </r>
    <r>
      <rPr>
        <b/>
        <sz val="11"/>
        <color theme="1"/>
        <rFont val="Gill Sans MT"/>
        <family val="2"/>
      </rPr>
      <t>£62,500+</t>
    </r>
  </si>
  <si>
    <t>Summary by site - land variant</t>
  </si>
  <si>
    <t>East of Harlow (North)</t>
  </si>
  <si>
    <t>East of Harlow (South)</t>
  </si>
  <si>
    <t>Latton Priory</t>
  </si>
  <si>
    <t>Water Lane Area 
(Sumners)</t>
  </si>
  <si>
    <t>Water Lane Area (Katherine's)</t>
  </si>
  <si>
    <t>Gilston 
(Villages 1-6)</t>
  </si>
  <si>
    <t>Gilston 
(Village 7)</t>
  </si>
  <si>
    <t>Princess Alexandra Hospital</t>
  </si>
  <si>
    <t>The Stow Service Bays</t>
  </si>
  <si>
    <t xml:space="preserve">Land East of Katherines Way, West of Deer Park </t>
  </si>
  <si>
    <t>Lister House, Staple Tye Mews, Staple Tye Depot</t>
  </si>
  <si>
    <t xml:space="preserve">South of 
Clifton Hatch </t>
  </si>
  <si>
    <t>Riddings Lane</t>
  </si>
  <si>
    <t>Kingsmoor Recreation Centre</t>
  </si>
  <si>
    <t xml:space="preserve">The Evangelical Lutheran Church, Tawneys Road </t>
  </si>
  <si>
    <t>Land East of 144-154 Fennells</t>
  </si>
  <si>
    <t>Pollard Hatch Plus Garages and Adjacent Land</t>
  </si>
  <si>
    <t>Land Between Second Avenue and St. Andrews Meadow</t>
  </si>
  <si>
    <t>Coppice Hatch and Garages</t>
  </si>
  <si>
    <t>Sherards House</t>
  </si>
  <si>
    <t>Elm Hatch and Public House</t>
  </si>
  <si>
    <t>Playground West of 93 – 100 Jocelyns</t>
  </si>
  <si>
    <t>Fishers Hatch</t>
  </si>
  <si>
    <t>Slacksbury Hatch and Associated Garages</t>
  </si>
  <si>
    <t>Garage Blocks Adjacent to Nicholls Tower</t>
  </si>
  <si>
    <t>Stewards Farm</t>
  </si>
  <si>
    <t>Land between Barn Mead and Five Acres</t>
  </si>
  <si>
    <t>Pypers Hatch</t>
  </si>
  <si>
    <t>Other Sites</t>
  </si>
  <si>
    <t>Units</t>
  </si>
  <si>
    <t>Cost/unit</t>
  </si>
  <si>
    <t>Cost/unit E Harlow</t>
  </si>
  <si>
    <t>2018
- 
2023</t>
  </si>
  <si>
    <t>2023
-
2028</t>
  </si>
  <si>
    <t>2028
-
2033</t>
  </si>
  <si>
    <t>2033
-
2038</t>
  </si>
  <si>
    <t>2038
-
2043</t>
  </si>
  <si>
    <t>2043
+</t>
  </si>
  <si>
    <t>Water Lane Area</t>
  </si>
  <si>
    <t>Ref</t>
  </si>
  <si>
    <t>Alt Ref</t>
  </si>
  <si>
    <t>Intervention</t>
  </si>
  <si>
    <t>Revised Priority</t>
  </si>
  <si>
    <t>Delivery Partners</t>
  </si>
  <si>
    <t>Potential Funding Source</t>
  </si>
  <si>
    <t>Cost source</t>
  </si>
  <si>
    <t>Cost to be Apportioned</t>
  </si>
  <si>
    <t>Rationale</t>
  </si>
  <si>
    <t>Delivery Phasing</t>
  </si>
  <si>
    <t>Notes</t>
  </si>
  <si>
    <t>IDP Source</t>
  </si>
  <si>
    <t>Baseline Source</t>
  </si>
  <si>
    <t>Information Grading</t>
  </si>
  <si>
    <t>Developer Views</t>
  </si>
  <si>
    <t>Requires Land?</t>
  </si>
  <si>
    <t>On Site Provision / Contribution</t>
  </si>
  <si>
    <t>Gilston (Villages 1-6)</t>
  </si>
  <si>
    <t>Highways</t>
  </si>
  <si>
    <t>TR1</t>
  </si>
  <si>
    <t>DW3</t>
  </si>
  <si>
    <t>M11 Junction 7A: widening of Gilden Way (B183) from  London Road roundabout to Marsh Lane to create three lane road; new road to the east replacing part of the existing road,  linking the improved Gilden Way (B183) to the M11 via a new Sheering road roundabout; new stretch of road from the roundabout northwards to reconnect to Sheering Road south of Pincey Brook; from the new Sheering Road roundabout, the link will continue in a north easterly direction to a second roundabout located south of Pincey Brook two new roundabouts on either side of the M11 and connected by a new bridge over the M11;  slip roads on and off the M11 for both north-bound and South-bound traffic</t>
  </si>
  <si>
    <t>N/A</t>
  </si>
  <si>
    <t>Highways England / ECC</t>
  </si>
  <si>
    <t>Highways England - RIS1</t>
  </si>
  <si>
    <t>Essex County Council</t>
  </si>
  <si>
    <t>Fully funded - no additional contributions required</t>
  </si>
  <si>
    <t>2018-2022</t>
  </si>
  <si>
    <t>The project is scoped and fully costed, and a planning application has been approved.</t>
  </si>
  <si>
    <t>Epping Forest IDP</t>
  </si>
  <si>
    <t>Consultation with Essex County Council Highways; Jacobs Technical Note 3</t>
  </si>
  <si>
    <t>Level 1</t>
  </si>
  <si>
    <t>N</t>
  </si>
  <si>
    <t>TR2</t>
  </si>
  <si>
    <t>EHA6</t>
  </si>
  <si>
    <t>Mayfield Farm access to East Harlow, including a single junction upgrade and link-road to the site</t>
  </si>
  <si>
    <t>Critical</t>
  </si>
  <si>
    <t xml:space="preserve">Developers </t>
  </si>
  <si>
    <t>Developer contributions (S278)</t>
  </si>
  <si>
    <t>Developers to meet full cost</t>
  </si>
  <si>
    <t>2020-2025 (dependent on phasing)</t>
  </si>
  <si>
    <t xml:space="preserve">Jacobs Technical note 5; discussions with Essex County Council </t>
  </si>
  <si>
    <t>On site</t>
  </si>
  <si>
    <t>TR3</t>
  </si>
  <si>
    <t>Sheering Way access to East Harlow, including a single junction upgrade and link-road to the site</t>
  </si>
  <si>
    <t>TR4</t>
  </si>
  <si>
    <t>Nursery site (east of Gilden Way) access to East Harlow, including a single junction upgrade and link-road to the site</t>
  </si>
  <si>
    <t>Y</t>
  </si>
  <si>
    <t>TR5</t>
  </si>
  <si>
    <t>LPR3</t>
  </si>
  <si>
    <t>Minor upgrades and improvements to M11 Junction 7 to provide access to Latton Priory and B1393</t>
  </si>
  <si>
    <t>Developer / ECC</t>
  </si>
  <si>
    <t>Developer contributions (S278 / S106)</t>
  </si>
  <si>
    <t>Essex County Council - of the cost, approximately £3m is related specifically to the delivery of Latton Priory and the remainder is related to the wider delivery of growth in the area (including Latton Priory)</t>
  </si>
  <si>
    <t>Assumes 100% of costs met through developer contributions - however, Essex County Council are also exploring opportunities for other sources of funding</t>
  </si>
  <si>
    <t>2023-2033</t>
  </si>
  <si>
    <t>ECC are currently exploring additional funding sources to contribute to infrastructure delivery.</t>
  </si>
  <si>
    <t xml:space="preserve">Consultation with Essex County Council; Memorandum of Understanding on Highways and Transportation for the West Essex/East Hertfordshire Housing Market Area. </t>
  </si>
  <si>
    <t>On site and contribution</t>
  </si>
  <si>
    <t>North Weald Bassett and Epping sites</t>
  </si>
  <si>
    <t>TR6</t>
  </si>
  <si>
    <t>Link road and B1393 junction from Latton Priory to M11 Junction 7</t>
  </si>
  <si>
    <t>Developer</t>
  </si>
  <si>
    <t>Essex County Council (lower end estimate; costs may be higher following detailed design)</t>
  </si>
  <si>
    <t>Assumes 100% of costs met through developer contributions</t>
  </si>
  <si>
    <t>2016-2025</t>
  </si>
  <si>
    <t>Consultation with Essex County Council Highways</t>
  </si>
  <si>
    <t>The requirement for this link road has been sugject to discussions as part of masterplanning</t>
  </si>
  <si>
    <t>TR7</t>
  </si>
  <si>
    <t>DW4</t>
  </si>
  <si>
    <t>Improvements to M11 Junction 7</t>
  </si>
  <si>
    <t xml:space="preserve">Essential </t>
  </si>
  <si>
    <t>Highways England - RIS</t>
  </si>
  <si>
    <t>2025-2030</t>
  </si>
  <si>
    <t>Project scoped and fully costed. If funding is not available from Road Investment Strategy 2 the cost will need to be borne by  developers.</t>
  </si>
  <si>
    <t>Memorandum of Understanding on Highways and Transportation Infrastructure for the West Essex / East Hertfordshire Housing Market Area</t>
  </si>
  <si>
    <t>TR8</t>
  </si>
  <si>
    <t>WLA4</t>
  </si>
  <si>
    <t>Enhancements to Water Lane / A1169 roundabout; A1025 / Abercrombie Way signals; and traffic calming along the A1169</t>
  </si>
  <si>
    <t>Developers</t>
  </si>
  <si>
    <t>2021-2026</t>
  </si>
  <si>
    <t>Developer Forum pro-forma response.</t>
  </si>
  <si>
    <t>West of Katherine's developers are currently disputing the scale of works and cost estimate</t>
  </si>
  <si>
    <t>Contribution</t>
  </si>
  <si>
    <t>TR9</t>
  </si>
  <si>
    <t>H_1</t>
  </si>
  <si>
    <t>Velizy / Second Avenue works including signalled crossing and walking and cycling at grade crossing</t>
  </si>
  <si>
    <t>Required</t>
  </si>
  <si>
    <t>ECC</t>
  </si>
  <si>
    <t>Developer contributions (S106)</t>
  </si>
  <si>
    <t>Essex County Council (costs updated to reflect likely Town Centre AAP interventions)</t>
  </si>
  <si>
    <t>Assumes 100% of remaining costs met through developer contributions</t>
  </si>
  <si>
    <t>2021-2023</t>
  </si>
  <si>
    <t>Harlow IDP / East Herts IDP</t>
  </si>
  <si>
    <t>TR10</t>
  </si>
  <si>
    <t>H_5</t>
  </si>
  <si>
    <t>Gilden Way / Harlowbury development primary site access</t>
  </si>
  <si>
    <t>Harlow IDP (2018)</t>
  </si>
  <si>
    <t>2018-2023</t>
  </si>
  <si>
    <t>Harlow IDP</t>
  </si>
  <si>
    <t>TR11</t>
  </si>
  <si>
    <t>H_6</t>
  </si>
  <si>
    <t>Gilden Way / Harlowbury development secondary site access</t>
  </si>
  <si>
    <t>TR12</t>
  </si>
  <si>
    <t>H_7</t>
  </si>
  <si>
    <t>Gilden Way / (B183) Mulberry Green for Harlowbury</t>
  </si>
  <si>
    <t>2023-2028</t>
  </si>
  <si>
    <t>TR13</t>
  </si>
  <si>
    <t>H_11</t>
  </si>
  <si>
    <t>A414 / Edinburgh Way / Cambridge Road (A1184) / Station Road, including junction improvements and road dualling</t>
  </si>
  <si>
    <t>Growing Places Fund</t>
  </si>
  <si>
    <t>TR14</t>
  </si>
  <si>
    <t>H_15</t>
  </si>
  <si>
    <t>Closure of Old Road through traffic at rail bridge adjust A1184 / Old Road signals</t>
  </si>
  <si>
    <t>TR15</t>
  </si>
  <si>
    <t>New Junction from River Way (Templefields (EZ)) onto Cambridge Road</t>
  </si>
  <si>
    <t>Cost to be met by EZ</t>
  </si>
  <si>
    <t>Scheme is not ECC programme but is considered key to the develeopment of the EZ on Templefields.</t>
  </si>
  <si>
    <t>TR16</t>
  </si>
  <si>
    <t>H_16; H_17</t>
  </si>
  <si>
    <t>Cycling and walking improvements to A1025 Second Avenue / Manston / Tripton junction; cycling and walking improvements to the A1025 Second Avenue / Howard Way improvements / pedestrian crossings; and public transport and general capacity improvements</t>
  </si>
  <si>
    <t>Currently tests 100% of costs met through developer contributions. Funding may also be available through other sources e.g. Walking Infrastucture Programme bids</t>
  </si>
  <si>
    <t>TR17</t>
  </si>
  <si>
    <t>A414 Edinburgh Way / Howard Way improvement scheme</t>
  </si>
  <si>
    <t>2022-2033</t>
  </si>
  <si>
    <t>Contributions may also be sort from sites in the vicinity.</t>
  </si>
  <si>
    <t>East Herts IDP</t>
  </si>
  <si>
    <t>Consultation with Hertfordshire County Council Highways</t>
  </si>
  <si>
    <t>TR18</t>
  </si>
  <si>
    <t>Amwell Roundabout upgrades and 'throughabout'</t>
  </si>
  <si>
    <t>HCC</t>
  </si>
  <si>
    <t>Developer contributions (S106) / Grant</t>
  </si>
  <si>
    <t>East Herts IDP (2017)</t>
  </si>
  <si>
    <t>Assumes 100% of costs met through developer contributions - however, contributions from other sites and other sources of funding may be available</t>
  </si>
  <si>
    <t xml:space="preserve">There is the potential to make this junction a 'throughabout' with priority given to traffic using the A414, but this is subject to further transport modelling. This scheme is related to Hertford bypass proposals which would reroute the A414 and connect with the A10 east of the town. </t>
  </si>
  <si>
    <t>East Herts Village 1-6 site requirement note / East Herts Village 7 site requirement note
Consultation with Hertfordshire County Council Highways</t>
  </si>
  <si>
    <t>Level 3</t>
  </si>
  <si>
    <t>TR19</t>
  </si>
  <si>
    <t>Central access to Gilston (Village 1) including Eastwick junction improvements with bus priority, provision of new walking/cycling bridge over A414, widening of 5th Avenue to create sustainable transport corridor including works to the bridges, and improved access to Harlow Town Station from the north</t>
  </si>
  <si>
    <t>Developer / HCC</t>
  </si>
  <si>
    <t>HIF (claw back to be recycled) / Developer contributions (S106 or S278)</t>
  </si>
  <si>
    <t>Hertfordshire County Council</t>
  </si>
  <si>
    <t>Developers to meet full cost (additional funding from Network Rail may be available for upgrades to the station building and new entrance)</t>
  </si>
  <si>
    <t xml:space="preserve">Works to the Central Stort Crossing required as part of the access strategy for Gilston. Access to station likely to require Network Rail negotiation.
It has been identified that the existing Railway Bridge of the Fifth Avenue River Stort Crossing will require replacement at some point in the future, the replacement of this structure is not required in order to deliver the access to the Gilston Area but due to the age, condition and design of that structure it would therefore be considered a strategic intervention. The cost does not include this intervention. </t>
  </si>
  <si>
    <t>TR20</t>
  </si>
  <si>
    <t>Second Stort Crossing including realignment of the Eastwick Road and new junction allowing access to Terlings Park  and Pye Corner, Pye Corner bypass including junction between north-south section and east-west section, the remainder of the Eastern Crossing including River Way Bridge, and severence mitigation measures at Terlings Park</t>
  </si>
  <si>
    <t>TR21</t>
  </si>
  <si>
    <t xml:space="preserve">Access to Gilston Area Village 2  </t>
  </si>
  <si>
    <t>TR22</t>
  </si>
  <si>
    <t>Access to Gilston Area Village 1  (north of Eastwick junction) and creation of Sustainable Transport link within Village 1</t>
  </si>
  <si>
    <t>2022-2023</t>
  </si>
  <si>
    <t>TR23</t>
  </si>
  <si>
    <t>Western access (village 7) to Gilston at A414/Church Lane</t>
  </si>
  <si>
    <t>TR24</t>
  </si>
  <si>
    <t>Sustainable link between Gilston Village 7 and Gilston Villages 1-6</t>
  </si>
  <si>
    <t>2022-2028</t>
  </si>
  <si>
    <t>Sustainable transport measures that include walking and cycling and enhanced passenger transport services. To be considered at the detailed design stage through a site masterplan.</t>
  </si>
  <si>
    <t>East Herts IDP / East Herts Village 1-6 site requirement note / East Herts Village 7 site requirement note</t>
  </si>
  <si>
    <t>TR25</t>
  </si>
  <si>
    <t>Hertford Bypass</t>
  </si>
  <si>
    <t>Hertfordshire County Council (upper end estimate)</t>
  </si>
  <si>
    <t>Unknown</t>
  </si>
  <si>
    <t>Unclear to what extent developer contributions from Garden Town will be required</t>
  </si>
  <si>
    <t xml:space="preserve">2024-2033
</t>
  </si>
  <si>
    <t xml:space="preserve">A414 can support planned growth identified within the first seven years up to 2024. Beyond that date a strategic solution, potentially in the form of a Hertford bypass will be required to deliver future growth in the Hertford and Ware area. The County Council is currently preparing a 2050 Transport Vision which will inform the Local Transport Plan 4. A strategic scheme in Hertford will be identified as part of this work. </t>
  </si>
  <si>
    <t>East Herts IDP / 2050 Transport Vision</t>
  </si>
  <si>
    <t>TR26</t>
  </si>
  <si>
    <t>Harlow Northern Bypass</t>
  </si>
  <si>
    <t>HCC / ECC</t>
  </si>
  <si>
    <t>2033+</t>
  </si>
  <si>
    <t>Potential northern bypass linking the A414 to the north of the River Stort to help ease congestion, and improve connectivity. A northern bypass is not currently required to enable growth and delivery, but in the longer term may be required to improve connectivity and reduce congestion north of Harlow.</t>
  </si>
  <si>
    <t>East Herts IDP / Harlow IDP / EFDC IDP</t>
  </si>
  <si>
    <t>Level 4</t>
  </si>
  <si>
    <t>PAH Relocation-Related Highways</t>
  </si>
  <si>
    <t>TR27</t>
  </si>
  <si>
    <t>Option 1: Hospital relocation to Gilston - transport mitigation measures</t>
  </si>
  <si>
    <t>TBC</t>
  </si>
  <si>
    <t>NHS Princess Alexandra Hospital Trust</t>
  </si>
  <si>
    <t>Developer contributions (S106)/grant/NHS Princess Alexandra Hospital Trust</t>
  </si>
  <si>
    <t>PAH relocation-related costs have not been apportioned and would instead form part of the overall cost package for the relocation</t>
  </si>
  <si>
    <t>2028-2038</t>
  </si>
  <si>
    <t>Consultation with Essex County Council Highways and Hertfordshire County Council Highways</t>
  </si>
  <si>
    <t>Hospital relocation to East Harlow - transport mitigation measures including M11 Junction 7A capacity works</t>
  </si>
  <si>
    <t>Essex County Council estimate the cost to be £25,000,000 - £50,000,000 - note, this is a high level allowance only</t>
  </si>
  <si>
    <t>2023-2038</t>
  </si>
  <si>
    <t>Public and Active Transport</t>
  </si>
  <si>
    <t>TR28</t>
  </si>
  <si>
    <t>Sustainable Transport Corridors and Town Centre Transport Hub</t>
  </si>
  <si>
    <t>ECC / HCC</t>
  </si>
  <si>
    <t>HIF (grant and claw back to be recycled) / Developer contributions (S106)</t>
  </si>
  <si>
    <t xml:space="preserve"> Sustainable Transport Corridors Study. The costs are reflective of the stage of the works, and will be further refined as more detail on the Sustainable Transport Corridors becomes available. Cost excludes bus road across Central Stort Crossing, to avoid double counting with TR19 and TR24.</t>
  </si>
  <si>
    <t xml:space="preserve">Assumes 100% of costs (excluding some of the costs relating to town centre) met through developer contributions - however, contributions from other sites and other sources of funding (including HIF) may be available. Contributions from wider regeneration of town centre expected to some town centre upgrades. </t>
  </si>
  <si>
    <t>2021-2033</t>
  </si>
  <si>
    <t>Costs included in Sustainable Transport Corridors Study makes an allowance for revenue support (pump priming).</t>
  </si>
  <si>
    <t>Sustainable Transport Corridors Study 2018</t>
  </si>
  <si>
    <t>TR29</t>
  </si>
  <si>
    <t>B_2</t>
  </si>
  <si>
    <t>Enhanced bus services along Edinburgh Way via new EZ access</t>
  </si>
  <si>
    <t>Operators / ECC</t>
  </si>
  <si>
    <t>TR30</t>
  </si>
  <si>
    <t>WC_7</t>
  </si>
  <si>
    <t>Southern Way gap between Bishopsfield and Parnall Road</t>
  </si>
  <si>
    <t>ECC / Developers</t>
  </si>
  <si>
    <t>TR31</t>
  </si>
  <si>
    <t>Off-road cycle and walking network from Village 7 to Roydon</t>
  </si>
  <si>
    <t>East Herts IDP (2017) - assumes equal split between Roydon and Pinnacles links</t>
  </si>
  <si>
    <t>Consultation with Essex County Council Highways / Hertfordshire County Council Highways</t>
  </si>
  <si>
    <t>TR32</t>
  </si>
  <si>
    <t>Off-road cycle and walking network from Village 6 to  Pinnacles</t>
  </si>
  <si>
    <t>TR33</t>
  </si>
  <si>
    <t>Public and active transport support, including; revenue funding for Garden Town Active Travel Plan coordinator(s); travel vouchers; and ongoing stewardship of active transport links</t>
  </si>
  <si>
    <t>2018 onwards</t>
  </si>
  <si>
    <t>Garden Town to progress following commission of Stewardship commission.</t>
  </si>
  <si>
    <t>TR34</t>
  </si>
  <si>
    <t>Pump-priming of new bus services in Gilston Area</t>
  </si>
  <si>
    <t xml:space="preserve">Operators </t>
  </si>
  <si>
    <t xml:space="preserve">Hertfordshire County Council </t>
  </si>
  <si>
    <t>Consultation with Hertfordshire County Council Sustainable Transport</t>
  </si>
  <si>
    <t>TR35</t>
  </si>
  <si>
    <t>Travel Plan measures/monitoring</t>
  </si>
  <si>
    <t>ECC / HCC / Operators</t>
  </si>
  <si>
    <t>TR36</t>
  </si>
  <si>
    <t>Passenger transport infrastructure and services</t>
  </si>
  <si>
    <t>Risk Allowance</t>
  </si>
  <si>
    <t>Revised Total</t>
  </si>
  <si>
    <t>Delivery Prioritisation</t>
  </si>
  <si>
    <t>Priority</t>
  </si>
  <si>
    <t>Criteria</t>
  </si>
  <si>
    <t>Red category: infrastructure / services required to be delivered before a specific development, or phase of development, could be commenced. Typical examples might be transport connections that are needed to access sites for construction works, employment strategies that provide local opportunities for construction jobs and stewardship arrangements. It allows a development to come forward in a form/manner that is acceptable in planning terms.</t>
  </si>
  <si>
    <t>Amber category: infrastructure / services required to be delivered before a specific development, or phase of development, could be occupied or where an early trigger linked to occupation is expected. It can include a wide range of infrastructure including transport and education. It enables a development to continue to be delivered and occupied in a form/manner that is both sustainable and acceptable in planning terms.</t>
  </si>
  <si>
    <t>Many other types of infrastructure / services will be required to be delivered both within developments and within the wider Garden Town area but where the trigger for delivery is not yet known or may not be required to support a particular scale or phase of the development. This typically includes open space, sports and community facilities or potential upgrades that have been identified to existing built facilities or services. The infrastructure may still be required to enable devlopment to be delivered and occupied in a form/manner that is both sustainable and acceptable in planning terms.</t>
  </si>
  <si>
    <t xml:space="preserve">Critical
</t>
  </si>
  <si>
    <t>Critical infrastructure / services are that which have been identified as needing to happen in order for developments to proceed. It most commonly involves connections to transport networks. It is typically triggered by the commencement of development activity and required before occupation can occur. On larger sites some critical infrastructure may be required in phases. It enables a development to commence or be occupied in a way that is both sustainable and acceptable in planning terms.</t>
  </si>
  <si>
    <t>Essential</t>
  </si>
  <si>
    <t>Essential infrastructure / services are that which have been identified as necessary to meet the needs of or mitigate impacts arising from developments without which further development may not be able to occur. It can include a wide range of infrastructure including transport and education. It is typically required to support a specified level of occupation. It enables a development to continue to be delivered and occupied in a way that is both sustainable and acceptable in planning terms.</t>
  </si>
  <si>
    <t xml:space="preserve">Required infrastructure / services are also that which have been identified as necessary to meet the needs of or mitigate impacts arising from developments but where the delivery may be linked to other factors other than the speed or scale of delivery of the development. This does not make it any less necessary and it may still be required to be delivered early or linked to scale of occupation. This typically includes on-site infrastructure such as open space, sports and leisure or off-site infrastructure that is to be provided by other stakeholders, for example acute healthcare. It ensures the needs of a development are met and its impacts mitigated in a way that is both sustainable and acceptable in planning terms. </t>
  </si>
  <si>
    <t>Desirable</t>
  </si>
  <si>
    <t xml:space="preserve">Desirable infrastructure / services are that which have been identified as necessary to upgrade or meet the quality expected but where it may not be critical, essential or required to support delivery of a particular identified development. This typically includes potential upgrades that have been identified to existing built facilities or services. Windfall developments or future allocations may trigger a requirement for these infrastructure / service improvements depending on their nature, scale and location. </t>
  </si>
  <si>
    <t>Reasonable endeavours have been taken by the HGGT Local Authorities to ensure the accuracy of information contained in these schedules based upon evidence available during its preparation which represents a snapshot in time. The identification of contributions from developments do not represent a guarantee that such funding will be secured by the HGGT Local Authorities but do represent an estimation of contribution levels that might be expected and should be taken into consideration by developers. Where the HGGT Local Authorities are identified as a potential delivery partner no liability is accepted for the delivery of infrastructure where funding or agreements do not exist for such delivery to take place. The HGGT Local Authorities accept no liability for errors in information and reserve the right to amend or update the requirements for infrastructure at any time based upon new evidence or understanding including but not limited to when assessing planning applications or preparing guidance or further updates to the IDP.</t>
  </si>
  <si>
    <t>A</t>
  </si>
  <si>
    <t>B</t>
  </si>
  <si>
    <t>C</t>
  </si>
  <si>
    <t>D</t>
  </si>
  <si>
    <t>E</t>
  </si>
  <si>
    <t>F</t>
  </si>
  <si>
    <t>G</t>
  </si>
  <si>
    <t>H</t>
  </si>
  <si>
    <t>I</t>
  </si>
  <si>
    <t>J</t>
  </si>
  <si>
    <t>K</t>
  </si>
  <si>
    <t>L</t>
  </si>
  <si>
    <t>M</t>
  </si>
  <si>
    <t>O</t>
  </si>
  <si>
    <t>P</t>
  </si>
  <si>
    <t>Q</t>
  </si>
  <si>
    <t>R</t>
  </si>
  <si>
    <t>S</t>
  </si>
  <si>
    <t>T</t>
  </si>
  <si>
    <t>U</t>
  </si>
  <si>
    <t>V</t>
  </si>
  <si>
    <t>W</t>
  </si>
  <si>
    <t>AA</t>
  </si>
  <si>
    <t>AB</t>
  </si>
  <si>
    <t>AC</t>
  </si>
  <si>
    <t>AD</t>
  </si>
  <si>
    <t>AE</t>
  </si>
  <si>
    <t>AF</t>
  </si>
  <si>
    <t>AG</t>
  </si>
  <si>
    <t>AH</t>
  </si>
  <si>
    <t>AI</t>
  </si>
  <si>
    <t>AJ</t>
  </si>
  <si>
    <t>AK</t>
  </si>
  <si>
    <t>AL</t>
  </si>
  <si>
    <t>AM</t>
  </si>
  <si>
    <t>AN</t>
  </si>
  <si>
    <t>AO</t>
  </si>
  <si>
    <t>AP</t>
  </si>
  <si>
    <t>AQ</t>
  </si>
  <si>
    <t>AR</t>
  </si>
  <si>
    <t>AS</t>
  </si>
  <si>
    <t>AT</t>
  </si>
  <si>
    <t>AU</t>
  </si>
  <si>
    <t>AV</t>
  </si>
  <si>
    <t>AW</t>
  </si>
  <si>
    <t>AX</t>
  </si>
  <si>
    <t>IDP Information Source</t>
  </si>
  <si>
    <t>Delivery Priority</t>
  </si>
  <si>
    <t>Delivery Notes</t>
  </si>
  <si>
    <t>Provision / Cost</t>
  </si>
  <si>
    <t>Provision / Cost Notes</t>
  </si>
  <si>
    <t>Identified Funding Notes</t>
  </si>
  <si>
    <t>Cost Indexation / Change</t>
  </si>
  <si>
    <t>Estimated Funding Gap</t>
  </si>
  <si>
    <t>Provision / Cost to be Apportioned to EHDC, EFDC &amp; HDC Development Plan Allocations</t>
  </si>
  <si>
    <t>Apportionment Notes</t>
  </si>
  <si>
    <t>Contribution Indexation / Change</t>
  </si>
  <si>
    <t>Estimated Funding Gap after contributions from Development Allocations</t>
  </si>
  <si>
    <t>Provision / Cost to be Apportioned to Windfall and developments outside HGGT</t>
  </si>
  <si>
    <t>Estimated residual Funding Gap after estimated contributions from Windfall and sites outside HGGT</t>
  </si>
  <si>
    <t>Funding Gap Notes</t>
  </si>
  <si>
    <t>Accumulated value of contributions into HGGT Rolling Infrastructure Fund (RIF)</t>
  </si>
  <si>
    <t>Transport Infrastructure / Services</t>
  </si>
  <si>
    <t>2022
- 
2024</t>
  </si>
  <si>
    <t>2024
-
2026</t>
  </si>
  <si>
    <t>2026
-
2028</t>
  </si>
  <si>
    <t>2028
-
2030</t>
  </si>
  <si>
    <t>2030
-
2032</t>
  </si>
  <si>
    <t>2032
-
2034</t>
  </si>
  <si>
    <t>2034
-
2036</t>
  </si>
  <si>
    <t>2036
-
2038</t>
  </si>
  <si>
    <t>2038
-
2040+</t>
  </si>
  <si>
    <t>Stewardship</t>
  </si>
  <si>
    <t>S1</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</si>
  <si>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transport this should include:
- footpaths, cycleways, bus lanes and roads;
- public cycle and car parking;
- highway drainage, public lighting, street furniture and public e-vehicle charging;
- shared mobility services and bus passenger services.</t>
    </r>
  </si>
  <si>
    <t>Stewardship arrangements to be agreed at masterplan / application stage</t>
  </si>
  <si>
    <t>Developer(s);</t>
  </si>
  <si>
    <t xml:space="preserve">Long term stewardship of land and facilities ties together the themes of the HGGT Vision. New spaces and facilities that are not agreed to be adopted by the public authorities will not be sustainable without well organised management structures supported by consistent revenue streams. </t>
  </si>
  <si>
    <t>comprehensive Stewardship arrangements to be established</t>
  </si>
  <si>
    <t>Stewardship arrangements to be agreed with Local Planning Authority at Masterplan or application stage.</t>
  </si>
  <si>
    <t>Sustainable Transport Corridor (STC) network</t>
  </si>
  <si>
    <r>
      <t xml:space="preserve">STC-TCh
</t>
    </r>
    <r>
      <rPr>
        <sz val="11"/>
        <rFont val="Gill Sans MT"/>
        <family val="2"/>
      </rPr>
      <t>(TR28part)</t>
    </r>
  </si>
  <si>
    <t>Town Centre Interchange &amp; Hub, including:
- redevelopment of existing Town Centre bus station to provide sustainable transport interchange supporting pedestrians, cyclists and public transport users including supporting future STC services;
- provision of new commercial hub and improved public realm.</t>
  </si>
  <si>
    <t>See IDP Evidence, Appendix 1 - Transport Infrastructure, Response from Harlow District Council</t>
  </si>
  <si>
    <t>STC network required to support 50% mode shift / 60% mode share objectives to accommodate growth</t>
  </si>
  <si>
    <t>completion in 2025</t>
  </si>
  <si>
    <t>Harlow Council (Interchange &amp; Hub) / Essex County Council (Town Centre Interchange access improvements, see STC-N)</t>
  </si>
  <si>
    <t>Harlow Council awarded Towns Fund grant (subject to business case) to deliver new Town Centre transport Interchange &amp; Hub.</t>
  </si>
  <si>
    <t>Redevelopment of existing Town Centre Bus Station and land at Post Office Road (owned by Harlow Council).</t>
  </si>
  <si>
    <t>Scheme based upon Harlow Council / Harlow Growth Board Towns Fund Bid, October 2020.</t>
  </si>
  <si>
    <r>
      <rPr>
        <b/>
        <sz val="11"/>
        <rFont val="Gill Sans MT"/>
        <family val="2"/>
      </rPr>
      <t xml:space="preserve">YES: </t>
    </r>
    <r>
      <rPr>
        <sz val="11"/>
        <rFont val="Gill Sans MT"/>
        <family val="2"/>
      </rPr>
      <t>Costs to be index linked from 1Q 2022 using the BCIS Road Tender Price Index or as otherwise updated.</t>
    </r>
  </si>
  <si>
    <r>
      <rPr>
        <b/>
        <sz val="11"/>
        <rFont val="Gill Sans MT"/>
        <family val="2"/>
      </rPr>
      <t xml:space="preserve">YES: </t>
    </r>
    <r>
      <rPr>
        <sz val="11"/>
        <rFont val="Gill Sans MT"/>
        <family val="2"/>
      </rPr>
      <t>Contributions to be index linked from 1Q 2022 using the BCIS Road Tender Price Index or as otherwise updated.</t>
    </r>
  </si>
  <si>
    <r>
      <t xml:space="preserve">STC
</t>
    </r>
    <r>
      <rPr>
        <sz val="11"/>
        <rFont val="Gill Sans MT"/>
        <family val="2"/>
      </rPr>
      <t>(TR28part)</t>
    </r>
  </si>
  <si>
    <t>Contribution to be calculated in accordance with Apportionment Notes.</t>
  </si>
  <si>
    <t>Delivery of new Town Centre Interchange &amp; Hub expected in 2025</t>
  </si>
  <si>
    <r>
      <t xml:space="preserve">STC-N
</t>
    </r>
    <r>
      <rPr>
        <sz val="11"/>
        <rFont val="Gill Sans MT"/>
        <family val="2"/>
      </rPr>
      <t>(TR28part)</t>
    </r>
  </si>
  <si>
    <t xml:space="preserve">Northern STC, including:
- High Quality Walking, Cycling &amp; Public Transport routes between Harlow Town Centre to Burnt Mill Roundabout via A1019 Allende / Fifth Avenue;
- Town Centre Interchange access improvements at Post Office Road and Crown Gate;
- Includes part of LCWIP Cycle Route 3. </t>
  </si>
  <si>
    <t>See IDP Evidence, Appendix 1 - Transport Infrastructure, Response from Essex County Council</t>
  </si>
  <si>
    <t>Completion in 2025</t>
  </si>
  <si>
    <t xml:space="preserve">Essex County Council contracted through Housing Investment Grant award (managed by Hertfordshire County Council) for delivery of a Northern STC, to be substantively complete in 2025. Design underwent public engagement between November 2021 and January 2022. </t>
  </si>
  <si>
    <t>Improvements to Fifth Avenue, Allende Avenue, Velizy Avenue, Post Office Road and Crown Gate</t>
  </si>
  <si>
    <t>Scheme based upon Essex County Council detailed design as published for public engagement in November 2021, Estimated costs as set out in IDP evidence from Essex County Council.</t>
  </si>
  <si>
    <t>Value of contribution illustrative pending confirmation of value of STC works to be delivered in lieu.</t>
  </si>
  <si>
    <t>Delivery of the Northern STC expected in 2025</t>
  </si>
  <si>
    <r>
      <t xml:space="preserve">STC-HTRSh
</t>
    </r>
    <r>
      <rPr>
        <sz val="11"/>
        <rFont val="Gill Sans MT"/>
        <family val="2"/>
      </rPr>
      <t>(TR28part)</t>
    </r>
  </si>
  <si>
    <t>Northern STC public transport Hub serving Harlow Town Rail Station, including:
- Public Transport facilities enhancements (not yet defined);
- Public realm improvements (not yet defined).</t>
  </si>
  <si>
    <t xml:space="preserve">Potential need identified by IDP Author due to the Railway Station forming a key destination as a transport interchange for sustainable travel to neighbouring settlements and over longer distances. </t>
  </si>
  <si>
    <t>Phasing of enhanced facilities serving Harlow Town Rail Station currently unknown</t>
  </si>
  <si>
    <r>
      <t xml:space="preserve">STC-E
</t>
    </r>
    <r>
      <rPr>
        <sz val="11"/>
        <rFont val="Gill Sans MT"/>
        <family val="2"/>
      </rPr>
      <t>(TR28part)</t>
    </r>
  </si>
  <si>
    <t>Eastern STC, including:
- High Quality Walking, Cycling &amp; Public Transport routes between Harlow Town Centre to London Road via First Avenue;
- Includes part of LCWIP Cycle Route 4.</t>
  </si>
  <si>
    <t>Essex County Council / Developer(s)</t>
  </si>
  <si>
    <t>HGGT Transport Strategy (2021) and Harlow District Plan (2020) identify indicative route for an Eastern STC connecting Harlow Town Centre to new and existing neighbourhoods and the Harlow Enterprise Zone to the East.</t>
  </si>
  <si>
    <t>Phasing of the Eastern STC currently unknown</t>
  </si>
  <si>
    <r>
      <t xml:space="preserve">STC-Ezh
</t>
    </r>
    <r>
      <rPr>
        <sz val="11"/>
        <rFont val="Gill Sans MT"/>
        <family val="2"/>
      </rPr>
      <t>(TR28part)</t>
    </r>
  </si>
  <si>
    <t>Eastern STC public transport Hub at London Road Enterprise Zone, including:
- Public Transport facilities enhancements including shelter and provision for real time travel information;
- Public Realm improvements including a pedestrian/cycle way connecting Harlow Innovation Park and Kao park and local wayfinding within the Enterprise Zone and to Newhall.</t>
  </si>
  <si>
    <t>Completion in 2023</t>
  </si>
  <si>
    <t>Harlow Council / Harlow Innovation Park</t>
  </si>
  <si>
    <t xml:space="preserve">Harlow Council are working with partners to deliver employment growth at the Harlow Innovation Park and Kao Park located close to the new neighbourhood of Newhall. New facilities to create a vibrant hub are planned including café and nursery. Enhanced facilities to support mode shift for walking, cycling and public transport are necessary with the Enterprise Zone forming a key location along the Eastern STC route. </t>
  </si>
  <si>
    <t>Land for STC Hub facility at London Road Enterprise Zone (owned by Harlow Council).</t>
  </si>
  <si>
    <t>Estimated budget for delivery of enhanced public transport facilities and associated works as a destination on the Eastern STC supporting journeys to/from the London Road Enterprise Zone is £290,000 utilising land at the Harlow Innovation Park as set out in IDP evidence from Harlow Council.</t>
  </si>
  <si>
    <t>Delivery of a Hub at the Harlow Innovation Park expected in 2023</t>
  </si>
  <si>
    <r>
      <t xml:space="preserve">STC-S
</t>
    </r>
    <r>
      <rPr>
        <sz val="11"/>
        <rFont val="Gill Sans MT"/>
        <family val="2"/>
      </rPr>
      <t>(TR28part)</t>
    </r>
  </si>
  <si>
    <t>Southern STC, including:
- High Quality Walking, Cycling &amp; Public Transport routes between Harlow Town Centre to Latton Bush Centre/Commonside Road;
- Includes part of LCWIP Cycle Route 6.</t>
  </si>
  <si>
    <t>Final route still to be defined</t>
  </si>
  <si>
    <t>Phasing of the Southern STC currently unknown</t>
  </si>
  <si>
    <t>STC-W</t>
  </si>
  <si>
    <t>Western STC, including:
- High Quality Walking, Cycling &amp; Public Transport routes between Harlow Town Centre and the Pinnacles Area via Fourth Avenue;
- Includes delivery of part of LCWIP Cycle Route 9.</t>
  </si>
  <si>
    <t>HGGT Transport Strategy (2021) and Harlow District Plan (2020) identify indicative route for a Western STC connecting Harlow Town Centre to new and existing neighbourhoods and the Pinnacles employment area to the West.</t>
  </si>
  <si>
    <t xml:space="preserve">Phasing of the Eastern STC currently unknown. </t>
  </si>
  <si>
    <t>STC-Ph</t>
  </si>
  <si>
    <t>Western STC public transport Hub at the Pinnacles Employment Area, including:
- Public Transport facilities enhancements (not yet defined);
- Public Realm improvements (not yet defined).</t>
  </si>
  <si>
    <t xml:space="preserve">Potential need identified by IDP Author due to the Pinnacles area forming a key destination as a significant employment area within the Garden Town. </t>
  </si>
  <si>
    <t>Feasibility and Design Options to consider potential new / enhanced facilities not yet undertaken.</t>
  </si>
  <si>
    <t>Phasing of new/enhanced facilities serving the Pinnacles employment area currently unknown</t>
  </si>
  <si>
    <t>STC-GA</t>
  </si>
  <si>
    <t xml:space="preserve">Northern STC continuation into the Gilston Area new garden community, including:
(a) Expansion of Fifth Avenue Stort Valley Crossing between Eastwick junction to Burnt Mill Roundabout to create dedicated public transport lanes and segregated Walking and Cycling routes and bridges, includes part of LCWIP Cycle Route 3;
(b) replacement of existing Fifth Avenue railway bridge deck;
(c) Continuation of the STC on-site to connect with each new Village and the Church Lane/A414 access with on-site Hubs.
</t>
  </si>
  <si>
    <t>See Planning Consents 3/19/1046 FUL (EHDC) and HW/CRB/19/00220 (HDC) granted on 18/03/2022</t>
  </si>
  <si>
    <t>STC connection and on-site works required to support 60% mode share for occupiers of new Garden Community</t>
  </si>
  <si>
    <t>STC Connection</t>
  </si>
  <si>
    <t>Gilston Area developer(s): Places for People</t>
  </si>
  <si>
    <t>Expansion of Fifth Avenue Stort Valley Crossing. On-site STC to be agreed through Masterplans / applications.</t>
  </si>
  <si>
    <t xml:space="preserve">Estimated costs as set out by Quod on behalf of Places for People on 02/12/2022:
(a) £54,000,000 1Q 2022;
(b) cost to be determined;
(c) Cost of on-site STC to form part of development costs so no costs included.
</t>
  </si>
  <si>
    <t>Funding secured comprises:
- from (up to) £129,080,000 Housing Investment Grant awarded to HCC and contracted to Places for People to use for forward-fund delivery of infrastructure.</t>
  </si>
  <si>
    <t>Responsibility for managing cost of works and delivery rest with the deliverer(s).</t>
  </si>
  <si>
    <t>Gilston Area Developer(s) to deliver on-site and off-site STC Connection works AND repay any forward-funding</t>
  </si>
  <si>
    <t>The STC connection to the Gilston Area new garden community and on-site STC are expected to form part of the wider HGGT STC network. Nevertheless, responsibility for delivery and any associated costs are expected to be met by the Gilston Area developer(s), for which these represent 'Critical' infrastructure.</t>
  </si>
  <si>
    <t>Northern STC continuation into the Gilston Area new garden community, including:
(a) Expansion of Fifth Avenue Stort Valley Crossing between Eastwick junction to Burnt Mill Roundabout to create dedicated public transport lanes and segregated Walking and Cycling routes and bridges, includes part of LCWIP Cycle Route 3;
(b) replacement of existing Fifth Avenue railway bridge deck;
(c) Continuation of the STC on-site to connect with each new Village and the Church Lane/A414 access with on-site Hubs.</t>
  </si>
  <si>
    <t>Developer(s) to deliver Crossing (a); new bridge deck (b); on-site STC works (c) AND repay remaining forward-funding:</t>
  </si>
  <si>
    <t>Developer(s) to deliver on-site STC works (c) AND repay 15% of project costs covered by forward-funding:</t>
  </si>
  <si>
    <t>HIG forward-funding draw-down to be agreed</t>
  </si>
  <si>
    <t>Value of HIG forward-funding could change depending on actual amount drawn down.</t>
  </si>
  <si>
    <t>Total recovery of HIG forward-funding to be agreed</t>
  </si>
  <si>
    <t>Total repayment of HIG forward funding to be secured as contribution/works in lieu to be based upon actual amount drawn-down.</t>
  </si>
  <si>
    <t>STC-EH</t>
  </si>
  <si>
    <t>Eastern STC continuation into and through the East of Harlow new garden community, including:
- High Quality Walking, Cycling and Public Transport routes to connect to Eastern STC at London Road/Harlow Innovation Park;
- Continuation of the STC on-site to connect into the new neighbourhood(s) and link to the new Hospital with on-site Hubs;
- continuation of STC under highway between new garden community and new Hospital site with a Hub.</t>
  </si>
  <si>
    <t>See HGGT Transport Strategy (2021), Harlow District Plan (2020) and Epping Forest Local Plan (draft) and IDP Evidence, Appendix 1 - Transport Infrastructure, Response from Princess Alexandra Hospital Trust.</t>
  </si>
  <si>
    <t>East of Harlow Developer(s) / Princess Alexandra Hospital Trust</t>
  </si>
  <si>
    <t>HGGT Transport Strategy (2021) and Harlow District Plan (2020) identify indicative extension of Eastern STC into and through East of Harlow new garden community.</t>
  </si>
  <si>
    <t>STC design to be agreed through Masterplans and Applications</t>
  </si>
  <si>
    <t>East of Harlow and Hospital Developer(s) to deliver on-site and off-site STC Connection works.</t>
  </si>
  <si>
    <t>The STC connection to the East of Harlow new garden community and on-site STC are expected to form part of the wider HGGT STC network. Nevertheless, responsibility for delivery and any associated costs are expected to be met by the East of Harlow developers, including for the Hospital, for which these represent 'Critical' infrastructure.</t>
  </si>
  <si>
    <t>Responsibility for managing cost of works and delivery rest with the deliverer(s), value for STC works in lieu to be agreed to negotiate final STC network contributions.</t>
  </si>
  <si>
    <t>East of Harlow Developer(s) to deliver on-site STC and off-site STC connection works in lieu of cost:</t>
  </si>
  <si>
    <t>Hospital Developer to deliver on-site STC and off-site STC connection works in lieu of cost:</t>
  </si>
  <si>
    <t>STC-WL</t>
  </si>
  <si>
    <t xml:space="preserve">Western STC continuation into and through the Water Lane new garden community, including:
- High Quality Walking, Cycling and Public Transport routes to connect to Western STC at the Pinnacles Area;
- Continuation of the STC on-site to serve the new neighbourhood(s) with on-site Hubs;
- continuation of STC across Water Lane to connect West of Katherine's and West of Sumners new residential areas. </t>
  </si>
  <si>
    <t>See HGGT Transport Strategy (2021), Harlow District Plan (2020) and Epping Forest Local Plan (draft).</t>
  </si>
  <si>
    <t>Water Lane Developer(s)</t>
  </si>
  <si>
    <t>HGGT Transport Strategy (2021), Harlow District Plan (2020) and Epping Forest Local Plan (draft) identify indicative extension of Western STC into and through the Water Lane new garden community.</t>
  </si>
  <si>
    <t xml:space="preserve">Cost of provision of Water Lane STC connection currently unknown.
Cost of on-site STC to form part of development costs so no costs included. </t>
  </si>
  <si>
    <t>Water Lane Developer(s) to deliver on-site and off-site STC Connection works.</t>
  </si>
  <si>
    <t>The STC connection to the Water Lane new garden community and on-site STC are expected to form part of the wider HGGT STC network. Nevertheless, responsibility for delivery and any associated costs are expected to be met by the Water Lane developer(s), for which these represent 'Critical' infrastructure.</t>
  </si>
  <si>
    <t>STC-LP</t>
  </si>
  <si>
    <t xml:space="preserve">Southern STC continuation into and through the Latton Priory new garden community, including:
- High Quality Walking, Cycling and Public Transport routes to connect to Southern STC at Latton Bush Centre/Commonside Road;
- continuation of the STC on-site to serve the new neighbourhood(s) with on-site Hubs;
- continuation of STC to connect with the B1393/M11 Junction 7. </t>
  </si>
  <si>
    <t>HGGT Transport Strategy (2021), Harlow District Plan (2020) and Epping Forest Local Plan (Draft).</t>
  </si>
  <si>
    <t>Latton Priory Developer(s)</t>
  </si>
  <si>
    <t>HGGT Transport Strategy (2021), Harlow District Plan (2020) and Epping Forest Local Plan (Draft) identify indicative extension of Southern STC into and through the Latton Priory new garden community.</t>
  </si>
  <si>
    <t>Cost of provision of Latton Priory STC connection currently unknown. Cost of on-site STC to form part of development costs so no costs included.</t>
  </si>
  <si>
    <t>Latton Priory Developer(s) to deliver on-site and off-site STC Connection works.</t>
  </si>
  <si>
    <t>The STC connection to the Latton Priory new garden community and on-site STC are expected to form part of the wider HGGT STC network. Nevertheless, responsibility for delivery and any associated costs are expected to be met by the Latton Priory developer(s), for which these represent 'Critical' infrastructure.</t>
  </si>
  <si>
    <t xml:space="preserve">Public Transport Services and Active &amp; Sustainable Travel Planning </t>
  </si>
  <si>
    <t>See IDP Evidence, Appendix 1 - Transport Infrastructure, Response from Hertfordshire County Council and Essex County Council</t>
  </si>
  <si>
    <t>Green Travel Plans required to support 50% mode shift / 60% mode share objectives to accommodate growth</t>
  </si>
  <si>
    <t>Developer(s)</t>
  </si>
  <si>
    <t>New development Green Travel Plan measures and monitoring, and Garden Town Active and Sustainable Transport Support, including:
(a) Green Travel Plans for new Villages, Neighbourhoods, Schools and Places of Work;
(b) Green travel vouchers for residents, students and workers;
(c) interim and community bus provisions;
(d) worker shuttle bus services;
(e) school bus travel services; 
(f) travel mode monitoring;
(g) revenue funding for Garden Town Active Travel Plan coordinator(s) and Transport Review Group(s) operation;
(h) pump-priming / subsidy of new / extended public transport services;
(i) shared mobility services;
(j) stewardship of STC and other transport infrastructure / services;
(k) Sustainable Transport and Innovation (STI) Fund</t>
  </si>
  <si>
    <t>Essex County Council (ECC) / Hertfordshire County Council (HCC) / HGGT Authority partnership / Developer(s)</t>
  </si>
  <si>
    <t>HCC identify contribution from Gilston Villages 1-6 as £21,500,000 in total, which will be collected through:
(b) £4,250,000
(f) £1,250,000
(h) £5,600,000
(k) £10,400,000
HCC identify contribution from Gilston Village 7 as £3,794823 in total, which will be collected through: 
(b) £750,000
(f) £220,588
(h) £988,235
(k) £1,836,000
ECC identify estimated contribution from other strategic sites as up to £2,800 per dwelling, costs for smaller sites and actual contributions to be agreed at application stage.</t>
  </si>
  <si>
    <t>Contributions may be required at Masterplan and Application stage</t>
  </si>
  <si>
    <r>
      <rPr>
        <b/>
        <sz val="11"/>
        <rFont val="Gill Sans MT"/>
        <family val="2"/>
      </rPr>
      <t xml:space="preserve">YES: </t>
    </r>
    <r>
      <rPr>
        <sz val="11"/>
        <rFont val="Gill Sans MT"/>
        <family val="2"/>
      </rPr>
      <t>Contributions to ECC to be index linked from 1Q 2022 using Consumer Price Index or as otherwise updated.</t>
    </r>
  </si>
  <si>
    <r>
      <t xml:space="preserve">ST2
</t>
    </r>
    <r>
      <rPr>
        <sz val="11"/>
        <rFont val="Gill Sans MT"/>
        <family val="2"/>
      </rPr>
      <t>(TR34&amp;TR36part)</t>
    </r>
  </si>
  <si>
    <t>Phasing of measures to support first occupations of new developments</t>
  </si>
  <si>
    <r>
      <t xml:space="preserve">ST3
</t>
    </r>
    <r>
      <rPr>
        <sz val="11"/>
        <rFont val="Gill Sans MT"/>
        <family val="2"/>
      </rPr>
      <t>(TR36part)</t>
    </r>
  </si>
  <si>
    <t>Works to existing passenger transport infrastructure as a result of new, extended or diverted services to meet needs of new development</t>
  </si>
  <si>
    <t>Hertfordshire County Council / Essex County Council / Developer(s)</t>
  </si>
  <si>
    <t xml:space="preserve">Where existing public transport services are changed or new services created to serve new developments existing infrastructure such as bus stops or signals may be required to be adapted to mitigate the impacts of these changes. </t>
  </si>
  <si>
    <t xml:space="preserve">Costs as provided within the Gilston Villages 1-6 and 7 Heads of Terms. </t>
  </si>
  <si>
    <t>Works and/or Contributions may be required at Masterplan and Application stage</t>
  </si>
  <si>
    <t>Gilston V1-6 developers to fund £250,000, and Gilston V7 to fund £25,000.</t>
  </si>
  <si>
    <t xml:space="preserve">Payment required within 40 working days of receiving evidence from EHDC to justify the requirement for 11 new / upgraded bus stop facilities and that it intends to start construction of the bus stops. </t>
  </si>
  <si>
    <t>Other Active Travel Infrastructure</t>
  </si>
  <si>
    <r>
      <t xml:space="preserve">AT1
</t>
    </r>
    <r>
      <rPr>
        <sz val="11"/>
        <rFont val="Gill Sans MT"/>
        <family val="2"/>
      </rPr>
      <t>(new)</t>
    </r>
  </si>
  <si>
    <t>Walking infrastructure improvements in Town Centre Core Walking Zone as identified in the HGGT Local Cycling and Walking Infrastructure Plan (LCWIP), including:
Note: excludes improvements to be delivered through Western STC and public realm enhancements in the Town Centre (see 'Open Space Infrastructure').</t>
  </si>
  <si>
    <t>See IDP Evidence, Appendix 1 - Transport Infrastructure, LCWIP</t>
  </si>
  <si>
    <t>Essex County Council / Harlow Council / Developer(s)</t>
  </si>
  <si>
    <t>HGGT LCWIP, in accordance with guidance from the Department for Transport, identifies priority investment in new infrastructure to support a greater number of people making journeys on foot or on cycle. The HGGT LCWIP (2021) included a review of walking infrastructure improvements for accessing Harlow Town Centre.</t>
  </si>
  <si>
    <t>Various locations as identified in HGGT LCWIP</t>
  </si>
  <si>
    <t>As identified in HGGT LCWIP (2021): Town Centre design recommendations all scheme ID 101 to 144, excluding 113 to 118 and 120 and 121 which form part of the Western STC works:
£571,341 1Q 2022.</t>
  </si>
  <si>
    <t xml:space="preserve">Capital works funding or Grants may allow delivery of some enhancements over time. </t>
  </si>
  <si>
    <t>Developments within or close to the Town Centre core walking zone may be required to deliver or contribute to enhancements.</t>
  </si>
  <si>
    <t xml:space="preserve">Developer Works and/or Contributions, Capital Works projects or Grants expected to allow delivery of some enhancements over time. </t>
  </si>
  <si>
    <t>Walking infrastructure improvements in Town Centre Core Walking Zone, including:
- as identified in the HGGT Local Cycling and Walking Infrastructure Plan (LCWIP);
- excludes improvements anticipated to be delivered through the Western STC;
- excludes additional public realm improvements required to the Town Centre, see 'Open Space Infrastructure'.</t>
  </si>
  <si>
    <t>Phasing for delivery of improvements currently unknown but likely to be completed over time to support developments or capital works.</t>
  </si>
  <si>
    <r>
      <t xml:space="preserve">AT2
</t>
    </r>
    <r>
      <rPr>
        <sz val="11"/>
        <rFont val="Gill Sans MT"/>
        <family val="2"/>
      </rPr>
      <t>(new)</t>
    </r>
  </si>
  <si>
    <t>Walking infrastructure improvements in Netteswell, The Stow, Templefields and Old Harlow Core Walking Zone as identified in the HGGT LCWIP, including:
Note: excludes improvements to be delivered through Eastern STC.</t>
  </si>
  <si>
    <t>HGGT LCWIP, in accordance with guidance from the Department for Transport, identifies priority investment in new infrastructure to support a greater number of people making journeys on foot or on cycle. The HGGT LCWIP (2021) included a review of walking infrastructure improvements for the Templefields and surrounding area, including Netteswell, The Stow and Old Harlow.</t>
  </si>
  <si>
    <t>As identified in HGGT LCWIP (2021): Templefields design recommendations scheme ID 201 to 2021, excluding 201, 203, 235 to 238, 262, 263, 283 which form part of the Eastern STC works:
£1,623,787 1Q 2022.</t>
  </si>
  <si>
    <t>Developments within or close to the Templefields core walking zone may be required to deliver or contribute to enhancements.</t>
  </si>
  <si>
    <t xml:space="preserve">Developer Works and/or Contributions, Capital Works projects, Grants or Rolling Infrastructure Fund expected to allow delivery of some enhancements over time. </t>
  </si>
  <si>
    <t>Walking infrastructure improvements in Netteswell, The Stow, Templefields and Old Harlow Core Walking Zone, including:
- as identified in the HGGT LCWIP;
- excludes improvements anticipated to be delivered through the Eastern STC.</t>
  </si>
  <si>
    <r>
      <t xml:space="preserve">AT3
</t>
    </r>
    <r>
      <rPr>
        <sz val="11"/>
        <rFont val="Gill Sans MT"/>
        <family val="2"/>
      </rPr>
      <t>(new)</t>
    </r>
  </si>
  <si>
    <t>Walking infrastructure improvements in Bush Fair Core Walking Zone as identified in the HGGT LCWIP.</t>
  </si>
  <si>
    <t>HGGT LCWIP, in accordance with guidance from the Department for Transport, identifies priority investment in new infrastructure to support a greater number of people making journeys on foot or on cycle. The HGGT LCWIP (2021) included a review of walking infrastructure improvements for the Bush Fair area.</t>
  </si>
  <si>
    <t>As identified in HGGT LCWIP (2021): Bush Fair Design recommendations scheme ID 401 to 455, excluding 430, 437,  444, 449, 451 to 454 which are expected to form part of the Southern Way traffic calming works and Second Avenue junction works:
£457,462 1Q 2022.</t>
  </si>
  <si>
    <t>Developments within or close to the Bush Fair core walking zone may be required to deliver or contribute to enhancements.</t>
  </si>
  <si>
    <t xml:space="preserve">Walking infrastructure improvements in Bush Fair Core Walking Zone, including:
- as identified in the HGGT LCWIP. </t>
  </si>
  <si>
    <r>
      <t xml:space="preserve">AT4
</t>
    </r>
    <r>
      <rPr>
        <sz val="11"/>
        <rFont val="Gill Sans MT"/>
        <family val="2"/>
      </rPr>
      <t>(new)</t>
    </r>
  </si>
  <si>
    <t>Walking infrastructure improvements in Staple Tye Core Walking Zone as identified in the HGGT LCWIP.</t>
  </si>
  <si>
    <t>HGGT LCWIP, in accordance with guidance from the Department for Transport, identifies priority investment in new infrastructure to support a greater number of people making journeys on foot or on cycle. The HGGT LCWIP (2021) included a review of walking infrastructure improvements for the Staple Tye area.</t>
  </si>
  <si>
    <t>As identified in HGGT LCWIP (2021): Staple Tye Design recommendations all scheme ID 301 to 367:
£987,094 1Q 2022.</t>
  </si>
  <si>
    <t>Developments within or close to the Staple Tye core walking zone may be required to deliver or contribute to enhancements.</t>
  </si>
  <si>
    <t xml:space="preserve">Walking infrastructure improvements in Staple Tye Core Walking Zone, including:
- as identified in the HGGT LCWIP. </t>
  </si>
  <si>
    <r>
      <t xml:space="preserve">AT5
</t>
    </r>
    <r>
      <rPr>
        <sz val="11"/>
        <rFont val="Gill Sans MT"/>
        <family val="2"/>
      </rPr>
      <t>(new)</t>
    </r>
  </si>
  <si>
    <t>Cycling improvements at Route 1 of the LCWIP (Town Centre Orbital) as identified in the HGGT LCWIP, including:
(a) installation of bi-directional cycle tracks between Haydens Road roundabout and Second Avenue roundabout;
(b) replacement of underpasses to provide at-grade crossings.
Note: excludes works to be completed through Northern, Eastern, Southern and Western STC.</t>
  </si>
  <si>
    <t>HGGT LCWIP, in accordance with guidance from the Department for Transport, identifies priority investment in new infrastructure to support a greater number of people making journeys on foot or on cycle. The HGGT LCWIP (2021) identified cycle infrastructure improvements orbiting the Harlow Town Centre.</t>
  </si>
  <si>
    <t>Town Centre Orbital Cycle Route as identified in HGGT LCWIP</t>
  </si>
  <si>
    <t>As identified in HGGT LCWIP (2021): LCWIP Cycle Route 1 actions:
(a): £2,435,223 1Q 2022;
(b): £6,864,968 1Q 2022.</t>
  </si>
  <si>
    <t>Developments within or close to the Town Centre may be required to deliver or contribute to enhancements.</t>
  </si>
  <si>
    <t>Cycling improvements at Route 1 of the LCWIP (Town Centre Orbital), including:
- as identified in the HGGT LCWIP;
- the replacement of underpasses to provide at-grade crossings;
- installation of bi-directional cycle tracks between Haydens Road roundabout and Second Avenue roundabout;
- excludes works to be completed through the Northern, Eastern, Southern and Western STC.</t>
  </si>
  <si>
    <r>
      <t xml:space="preserve">AT6
</t>
    </r>
    <r>
      <rPr>
        <sz val="11"/>
        <rFont val="Gill Sans MT"/>
        <family val="2"/>
      </rPr>
      <t>(new+TR32)</t>
    </r>
  </si>
  <si>
    <t>Cycling improvements at Route 2 of the LCWIP (Gilston Area - Parndon Mill - Town Centre) as identified in the HGGT LCWIP, including:
(a) A414 crossing, resurfacing and lighting to Elizabeth Way via Parndon Mill, new bridge over the Bridleway Ford and new Toucan crossing over Elizabeth Way;
(b) Hornbeams to Holdings Road Low Traffic Neighbourhood and replacement at-grade signalised junction at Holdings Road.
Note: replaces 2019 IDP TR32 off road cycle and walking network from Village 6 to Pinnacles.</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</si>
  <si>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the Gilston Area new garden community via Parndon Mill and the Stort Valley.</t>
  </si>
  <si>
    <t>Town Centre to Gilston Area Cycle Route as identified in HGGT LCWIP</t>
  </si>
  <si>
    <t>As identified in HGGT LCWIP (2021): LCWIP Cycle Route 2 actions:
(a) Direct delivery of works in lieu of cost
(b): £139,108 1Q 2022.</t>
  </si>
  <si>
    <t>Gilston Area new garden community Villages 1-6 Developer(s) to fund / deliver LCWIP Route 2 improvements (a) (A414 to Elizabeth Way) for commuting and leisure journeys to Stort valley and Harlow.
Other developments within or close to the Town Centre may be required to deliver or contribute to enhancements.</t>
  </si>
  <si>
    <t>Direct delivery of works between A414 and Elizabeth Way in lieu of cost.</t>
  </si>
  <si>
    <r>
      <t xml:space="preserve">AT7
</t>
    </r>
    <r>
      <rPr>
        <sz val="11"/>
        <rFont val="Gill Sans MT"/>
        <family val="2"/>
      </rPr>
      <t>(new)</t>
    </r>
  </si>
  <si>
    <t>Cycling improvements at Route 4 of the LCWIP (Old Harlow - Mark Hall North - Town Centre) as identified in the HGGT LCWIP, including: 
(a) Old Harlow Low Traffic Neighbourhood; and (b) Churchgate Street Low Traffic Neighbourhood.
Note: Remainder of route is to be delivered as part of the Eastern STC and the Gilden Way improvements.</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</si>
  <si>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Old Harlow/East of Harlow new garden community.</t>
  </si>
  <si>
    <t>Town Centre to Old Harlow/East of Harlow Cycle Route as identified in HGGT LCWIP</t>
  </si>
  <si>
    <t>As identified in HGGT LCWIP (2021): LCWIP Cycle Route 4 actions:
(a) £75,796 1Q 2022;
(b) £75,796 1Q 2022.</t>
  </si>
  <si>
    <t>East of Harlow new garden community to fund / deliver LCWIP Route 4 (a) and (b) (Low Traffic Neighbourhoods to Churchgate Street and Old Harlow) to allow connections to local facilities and Harlow Mill Rail Station.
Other developments within or close to the Town Centre may be required to deliver or contribute to enhancements.</t>
  </si>
  <si>
    <t>Cycling improvements at Route 4 of the LCWIP (Old Harlow - Mark Hall North - Town Centre), including: 
- as identified in the HGGT LCWIP;
- Old Harlow Low Traffic Neighbourhood and Churchgate Street Low Traffic Neighbourhood;
- Remainder of route is to be delivered as part of the Eastern STC and the Gilden Way improvements.</t>
  </si>
  <si>
    <t>Direct delivery of works in Churchgate Street and Old Harlow or contributions in lieu:</t>
  </si>
  <si>
    <r>
      <t xml:space="preserve">AT8
</t>
    </r>
    <r>
      <rPr>
        <sz val="11"/>
        <rFont val="Gill Sans MT"/>
        <family val="2"/>
      </rPr>
      <t>(new)</t>
    </r>
  </si>
  <si>
    <t>Cycling improvements at Route 5 of the LCWIP (Town Centre - Brays Grove - Potter Street), including:
- as identified in the HGGT LCWIP;
- the upgrade and widening of the North Grove to Tillwicks Road and Tillwicks Road to Tripton Road shared use path;
- installation of a Tumbler Road Low Traffic Neighbourhood in the area bound by Tillwicks Road / Southern Way / A414 / Second Avenue.</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</si>
  <si>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Brays Grove/Potter Street.</t>
  </si>
  <si>
    <t>Town Centre to Brays Grove/Potter Street via Second Avenue Cycle Route  as identified in HGGT LCWIP</t>
  </si>
  <si>
    <t>As identified in HGGT LCWIP (2021): LCWIP Cycle Route 5 actions:
A-L: £1,815,801 1Q 2022.</t>
  </si>
  <si>
    <t>Developments within or close to the Second Avenue, Brays Grove and Potter Street areas may be required to deliver or contribute to enhancements.</t>
  </si>
  <si>
    <r>
      <t xml:space="preserve">AT9
</t>
    </r>
    <r>
      <rPr>
        <sz val="11"/>
        <rFont val="Gill Sans MT"/>
        <family val="2"/>
      </rPr>
      <t>(new)</t>
    </r>
  </si>
  <si>
    <t>Cycling improvements at Route 7 of the LCWIP (Town Centre - Tye Green - Staple Tye), including:
- as identified in the LCWIP;
- installation of new cycle tracks from Wooded Area / Third Avenue and Paringdon Road / Great Parndon Library, installation of a new cycle path, provision of cycle track using section of public space and modal filter at the Latton Priory Access to Paringdon Road, and the creation of a Low Traffic Neighbourhood at Partridge Road.</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</si>
  <si>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Staple Tye.</t>
  </si>
  <si>
    <t>Town Centre to Staple Tye via Tye Green Cycle Route  as identified in HGGT LCWIP</t>
  </si>
  <si>
    <t>As identified in HGGT LCWIP (2021): LCWIP Cycle Route 7 actions:
A-D: £1,346,478 1Q 2022;
E-N: £1,135,331 1Q 2022.</t>
  </si>
  <si>
    <t>Latton Priory new garden community to fund / deliver LCWIP Route 7 interventions A to D (Rye Hill Road to Paringdon Road) to allow connections to existing cycle facilities.
Other developments within or close to the Tye Green and Staple Tye areas may be required to deliver or contribute to enhancements.</t>
  </si>
  <si>
    <t>Direct delivery of works in Rye Hill Road to Paringdon Road or contributions in lieu:</t>
  </si>
  <si>
    <r>
      <t xml:space="preserve">AT10
</t>
    </r>
    <r>
      <rPr>
        <sz val="11"/>
        <rFont val="Gill Sans MT"/>
        <family val="2"/>
      </rPr>
      <t>(new)</t>
    </r>
  </si>
  <si>
    <t>Cycling improvements at Route 8 of the LCWIP (Town Centre - Great Parndon - Water lane), including:
- as identified in the HGGT LCWIP;
- creation of a Low Traffic Neighbourhood at Kingsmoor Road, installation of protected cycle tracks on Pyenest Road, provision of protected cycle facilities on Kingsmoor Road, and installation of toucan crossings on Broadley Road and Southern Way.</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</si>
  <si>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Water Lane new garden community.</t>
  </si>
  <si>
    <t>Town Centre to Water Lane new garden community via Great Parndon Cycle Route  as identified in HGGT LCWIP</t>
  </si>
  <si>
    <t>As identified in HGGT LCWIP (2021): LCWIP Cycle Route 8 actions:
A-C: £1Q 2022;
D-I: £ 1Q 2022.</t>
  </si>
  <si>
    <r>
      <rPr>
        <b/>
        <sz val="11"/>
        <rFont val="Gill Sans MT"/>
        <family val="2"/>
      </rPr>
      <t>YES:</t>
    </r>
    <r>
      <rPr>
        <sz val="11"/>
        <rFont val="Gill Sans MT"/>
        <family val="2"/>
      </rPr>
      <t xml:space="preserve"> Costs to be index linked from 1Q 2022 using the BCIS Road Tender Price Index or as otherwise updated.</t>
    </r>
  </si>
  <si>
    <t>Improvements in lieu of contributions may be required at Masterplan and Application stage</t>
  </si>
  <si>
    <t>Water Lane new garden community to fund / deliver LCWIP Route 8 interventions A to C (Water Lane to Kingsmoor Rd) to improve connections with existing urban areas.
Other developments within or close to the Tye Green and Staple Tye areas may be required to deliver or contribute to enhancements.</t>
  </si>
  <si>
    <t xml:space="preserve">Additional Developer direct delivery or Contributions, Capital works funding or Grants may allow delivery of some enhancements over time. </t>
  </si>
  <si>
    <r>
      <t xml:space="preserve">AT11
</t>
    </r>
    <r>
      <rPr>
        <sz val="11"/>
        <rFont val="Gill Sans MT"/>
        <family val="2"/>
      </rPr>
      <t>(TR31, TR37&amp;TR41)</t>
    </r>
  </si>
  <si>
    <t>Walking and cycling connections and enhancements between new garden communities and surrounding neighbourhoods and villages, including:
a) Burnt Mill Lane walking and cycling  Access enhancements for potential northern access to Harlow Town Railway Station;;
b) Gilston Area to Hunsdon Cycle link;
c) Gilston Area Village 7 to Roydon.
Other connections to be identified at Masterplan / Application stage.</t>
  </si>
  <si>
    <t>See IDP Evidence, Appendix 1 - Transport Infrastructure</t>
  </si>
  <si>
    <t>Each new garden community should seek to provide enhanced connectivity to neighbouring destinations to support active travel. Current schemes identified in East Herts IDP (2017) and through engagement on East Herts planning applications 3/19/1045/OUT and 3/19/2124/OUT.</t>
  </si>
  <si>
    <t>Direct delivery of (a), (b) and (c)</t>
  </si>
  <si>
    <t>Gilston developers to fund 100% of the actual cost of works.</t>
  </si>
  <si>
    <t>Projects to be directly delivered by Developer(s).</t>
  </si>
  <si>
    <t>Each new garden community should seek to provide enhanced connectivity to neighbouring destinations to support active travel.
Gilston Area new garden community Village 7 Developer(s) to fund / deliver the walking and cycle route improvements for commuting and leisure journeys to Stort valley, Roydon and Roydon railway station.</t>
  </si>
  <si>
    <t>Walking and cycling connections and enhancements between new garden communities and surrounding neighbourhoods and villages, including:
a) Burnt Mill Lane walking and cycling;
b) Gilston Area to Hunsdon Cycle link;
c) Gilston Area Village 7 to Roydon.
Other connections to be identified at Masterplan / Application stage.</t>
  </si>
  <si>
    <t>Direct delivery of:
(a) Burnt Mill Lane;
(b) Hunsdon Cycle link.
In lieu:</t>
  </si>
  <si>
    <t>Direct delivery of:
(b) Hunsdon Cycle link;
(c) Roydon Cycle link 
In lieu:</t>
  </si>
  <si>
    <t>Works and / or Contributions may be identified at Application stage</t>
  </si>
  <si>
    <t>Phasing for delivery currently unknown</t>
  </si>
  <si>
    <r>
      <t xml:space="preserve">AT12
</t>
    </r>
    <r>
      <rPr>
        <sz val="11"/>
        <rFont val="Gill Sans MT"/>
        <family val="2"/>
      </rPr>
      <t>(new)</t>
    </r>
  </si>
  <si>
    <t xml:space="preserve">Harlow Town Railway Station Capacity assessment and potential new Northern Access, including:
(a) feasibility study for the design and costing of a scheme to improve the northern access of Harlow station
(b) creation of a new access/egress to/from the north
(c) cycle capacity improvements at Harlow Town Railway Station </t>
  </si>
  <si>
    <t>See IDP Evidence, Appendix 1 - Transport Infrastructure, Harlow Town Railway Station</t>
  </si>
  <si>
    <t>Network Rail / Train Operating Company</t>
  </si>
  <si>
    <t>Gilston Area development identified desire to deliver a northern entrance to Harlow Town Station to improve access and shorten journeys. Existing station capacity also limited by current single access.</t>
  </si>
  <si>
    <t>Harlow Town Station</t>
  </si>
  <si>
    <t>HCC have identified costs as follows: 
(a) £520,000
(b) £4,680,000
(c) £88,235</t>
  </si>
  <si>
    <t>Network Rail / Train Operating Company Capital funding or Grants may be available to contribute to costs subject to the need and feasibility being demonstrated.</t>
  </si>
  <si>
    <r>
      <rPr>
        <b/>
        <sz val="11"/>
        <rFont val="Gill Sans MT"/>
        <family val="2"/>
      </rPr>
      <t xml:space="preserve">YES: </t>
    </r>
    <r>
      <rPr>
        <sz val="11"/>
        <rFont val="Gill Sans MT"/>
        <family val="2"/>
      </rPr>
      <t>Costs to be index linked using Index to be advised (or as otherwise updated):
- from Q2 2022.</t>
    </r>
  </si>
  <si>
    <t>Contributions will be sought as follows: 
(a) Gilston V1-6 to contribute the lesser of 85% of the total cost, or £442,000, and Gilston V7 to contribute the lesser of 15% of the total cost, or £78,000
(b) Gilston V1-6 to contribute the lesser of 85% of the total cost, or £3,978,000, and Gilston V7 to contribute the lesser of 15% of the total cost, or £702,000
(c) Gilston V1-6 to contribute the lesser of 85% of the total cost, or £75,000, and Village 7 to contribute the lesser of 15% of the total cost, or £13,235.</t>
  </si>
  <si>
    <t>Contributions may be required subject to need and feasibility being demonstrated</t>
  </si>
  <si>
    <t>Subject to feasibility being demonstrated additional developer contributions and / or grant may be sought to deliver works.</t>
  </si>
  <si>
    <t xml:space="preserve">Harlow Town Railway Station Capacity assessment and potential new Northern Access, including:
- assessment of station user capacity;
- potential works to create a new access/egress to/from the north. </t>
  </si>
  <si>
    <t>Additional Contributions may be required subject to need and feasibility being demonstrated</t>
  </si>
  <si>
    <t>(a) Delivery by occupation of 200 Dwellings in Village 1 provided the Council has confirmed that Network Rail has agreed to use such monies to commission a feasibility study for the design and costing of a scheme to improve the northern access of Harlow station.
(b) Payment is required by the later of either 40 working days of receiving the notice from Council confirming that Network Rail has prepared a costed scheme and is ready to deliver it, or 1,500 dwellings in V1-6 and 500 dwellings in V7.
(c) Payment is required by the later od occupation of 200 dwellings in V1 and 200 dwellings in V7.</t>
  </si>
  <si>
    <r>
      <t xml:space="preserve">AT13
</t>
    </r>
    <r>
      <rPr>
        <sz val="11"/>
        <rFont val="Gill Sans MT"/>
        <family val="2"/>
      </rPr>
      <t>(new)</t>
    </r>
  </si>
  <si>
    <t xml:space="preserve">Bicycle Access &amp; Parking infrastructure at Hatches, Local Centres, sports grounds and other facilities to support HGGT mode shift. </t>
  </si>
  <si>
    <t>See IDP Evidence, Appendix 1 - Transport Infrastructure, Harlow Hatches and other facilities</t>
  </si>
  <si>
    <t>Various Organisations</t>
  </si>
  <si>
    <t>HGGT Transport Strategy (2021) sets targets for increasing journeys by cycling, this will create an increased demand at Hatches, Local Centres and other facilities for cycle access and parking.</t>
  </si>
  <si>
    <t>Harlow Town Railway Station has need for additional 100 secure cycle parking spaces to accommodate residents of the Gilston Area new garden community. Estimated cost provided by Essex County Council.
Other Works / Contributions from developments to meet needs and mitigate impacts to be identified at Application stage.</t>
  </si>
  <si>
    <t>Other Works / Contributions may be identified at Application stage</t>
  </si>
  <si>
    <t>Gilston Area new garden community to contribute £75,000 for 100 additional secure cycle parking spaces at Harlow Town Railway Station</t>
  </si>
  <si>
    <t>Additional cycle parking at Harlow Town Railway Station</t>
  </si>
  <si>
    <t>Other Highway Infrastructure / Services</t>
  </si>
  <si>
    <r>
      <t xml:space="preserve">TR1
</t>
    </r>
    <r>
      <rPr>
        <sz val="11"/>
        <rFont val="Gill Sans MT"/>
        <family val="2"/>
      </rPr>
      <t>(TR1)</t>
    </r>
  </si>
  <si>
    <t>M11 new Junction 7a, including:
(a) Phase 1: widening of Gilden Way (B183). Includes part of LCWIP Cycle Route 4;
(b) Phase 2a: new M11 motorway junction 7a and links to Gilden Way and Sheering Road including alternative dualled link road scheme.</t>
  </si>
  <si>
    <t>https://essexhighways.org/m11-junction-7a</t>
  </si>
  <si>
    <t>INFRASTRUCTURE PROJECT COMPLETED</t>
  </si>
  <si>
    <t>(a) and (b) completed</t>
  </si>
  <si>
    <t>National Highways and Essex County Council</t>
  </si>
  <si>
    <t>Project completed in 2022.</t>
  </si>
  <si>
    <t>Works at Gilden Way and M11</t>
  </si>
  <si>
    <t>Works funded by National Highways, South East Local Enterprise Partnership and Essex County Council</t>
  </si>
  <si>
    <r>
      <t xml:space="preserve">TR2
</t>
    </r>
    <r>
      <rPr>
        <sz val="11"/>
        <rFont val="Gill Sans MT"/>
        <family val="2"/>
      </rPr>
      <t>(TR7)</t>
    </r>
  </si>
  <si>
    <t>M11 Junction 7 improvements, including:
- junction signal improvements as necessary to support development traffic flows.
Note: More extensive works may be required subject to transport assessments to be provided at application stage for sites impacting upon capacity, safety or proper functioning of the junction.</t>
  </si>
  <si>
    <t>See IDP Evidence, Appendix 1 - Transport Infrastructure, Essex County Council Highway Works</t>
  </si>
  <si>
    <t>National Highways / Essex County Council / Developer(s)</t>
  </si>
  <si>
    <t>ECC have identified the need for initial works to ensure junction continues to operate. A more extensive remodelling of the Motorway junction may be required subject to modelling transport impacts as relevant applications come forward.</t>
  </si>
  <si>
    <t>ECC have identified an initial estimate for minimal works of £2,000,000. More extensive works may be required.</t>
  </si>
  <si>
    <t>Potential for Road Investment Strategy funding if a more extensive motorway junction remodelling is required.</t>
  </si>
  <si>
    <r>
      <rPr>
        <b/>
        <sz val="11"/>
        <rFont val="Gill Sans MT"/>
        <family val="2"/>
      </rPr>
      <t xml:space="preserve">YES: </t>
    </r>
    <r>
      <rPr>
        <sz val="11"/>
        <rFont val="Gill Sans MT"/>
        <family val="2"/>
      </rPr>
      <t>Costs to be index linked using the BCIS Road Tender Price Index (or as otherwise updated):
- from Q2 2019.</t>
    </r>
  </si>
  <si>
    <t>ECC identify works primarily associated with mitigating impacts of developments at Latton Priory, Water Lane, in the centre of Harlow as well as Epping Forest District. Estimate of £500,000 from Epping Forest District sites with remaining costs apportioned on a per dwelling basis subject to further assessment as relevant planning applications come forward.</t>
  </si>
  <si>
    <t>Contributions of approximately £500,000 are expected from other developments in the Epping Forest District area subject to agreement at Application stage.</t>
  </si>
  <si>
    <t>Phasing of works currently unknown</t>
  </si>
  <si>
    <t>TR3
(TR20)</t>
  </si>
  <si>
    <t>Second Stort Valley Crossing, including:
(a) Realignment of Eastwick Road and new junctions to Burnt Mill Lane/Terlings Park and Pye Corner;
(b) Pye Corner bypass and new junction on Eastwick/High Wych Road;
(c) New culverted and bridged public highway to River Way;
(d) River Way Rail Bridge replacement and River Way / Edinburgh Way junction improvements;
(e) River Way / Cambridge Road new junction.</t>
  </si>
  <si>
    <t>See:
Planning Consents 3/19/1051 FUL (EHDC) and HW/CRB/19/00221 (HDC) granted on 18/03/2022;
IDP Evidence Appendix 1 - Transport - Places for People;
IDP Evidence Appendix 1 - Transport - ECC.</t>
  </si>
  <si>
    <t>(e) River Way / Cambridge Rd access</t>
  </si>
  <si>
    <t>(a) - (d) new Crossing completed</t>
  </si>
  <si>
    <t>Gilston Area Developer(s): Places for People (a-d) / Essex County Council (e)</t>
  </si>
  <si>
    <t xml:space="preserve">Places for People contracted through Housing Investment Grant (HIG) award (managed by HCC) to deliver Eastern Stort Valley Crossing (a-d).
ECC contracted through HIG (HCC) and Harlow Towns Fund  (managed by HDC) to deliver River Way / Cambridge Road new junction (e). </t>
  </si>
  <si>
    <t>new Stort Valley Crossing: A414 / Eastwick Roundabout to A414 River Way/Edinburgh Way.</t>
  </si>
  <si>
    <t>Estimated costs as set out in IDP evidence from Places for People:
(a) £8,349,264 1Q 2022 + inflation;
(b) £20,708,346 1Q 2022 + inflation;
(c) £55,026,828 1Q 2022 + inflation;
(d) £16,384,420 1Q 2022 + inflation;
Estimated costs as set out in IDP evidence from ECC:
(e) (up to) £5,525,000 1Q 2022.</t>
  </si>
  <si>
    <t>Funding secured comprises:
(i) £1,500,000 from Harlow Towns Fund (HDC) contracted to ECC to partly fund delivery of TR3(e).
(ii) (up to) £42,100,000 HIG (HCC) contracted to ECC to deliver STC-N and forward-fund TR3(e).
(ii) (up to) £129,080,000 Housing Investment Grant (HIG) awarded to HCC and contracted to Places for People to partly forward-fund delivery of both Stort Valley Crossings.</t>
  </si>
  <si>
    <t>Responsibility for managing cost of works and delivery rest with the deliverer, updated costs may need to be provided to establish final apportionment of developer contributions.</t>
  </si>
  <si>
    <t>Second Stort Valley Crossing, including:
(a) Road 1: realignment and extension of Eastwick Road to new roundabout, new junctions to Burnt Mill Lane/Terlings Park and Pye Corner;
(b) Road 2: Pye Corner bypass, new junction on Eastwick/High Wych Road;
(c) Road 3: new culverted and bridged road to River Way, River Way Rail Bridge replacement;
(d) River Way / Edinburgh Way junction improvements;
(e) River Way / Cambridge Road new junction.</t>
  </si>
  <si>
    <t>Village 1-6 Developer(s) to deliver Crossing works (a-d) AND repay forward-funding:</t>
  </si>
  <si>
    <t>Village 7 Developer(s) to contribute to cost of Crossing works (a-d) AND contribute to repay forward funding:</t>
  </si>
  <si>
    <t>East of Harlow Developer(s) to contribute through repayment of forward funding:</t>
  </si>
  <si>
    <t>PAH Developer(s) to contribute through repayment of forward funding:</t>
  </si>
  <si>
    <t>Water Lane Developer(s) to contribute through repayment of forward funding:</t>
  </si>
  <si>
    <t>Latton Priory Developer(s) to contribute through repayment of forward funding:</t>
  </si>
  <si>
    <t xml:space="preserve">Estimation for inflation included. HIG recovery may change subject to amount drawn-down and final cost of works. </t>
  </si>
  <si>
    <r>
      <t xml:space="preserve">TR4
</t>
    </r>
    <r>
      <rPr>
        <sz val="11"/>
        <rFont val="Gill Sans MT"/>
        <family val="2"/>
      </rPr>
      <t>(TR18)</t>
    </r>
  </si>
  <si>
    <t>Hertfordshire Public Highway improvements, including:
(a) A414 Amwell Roundabout improvements;
(b) Sawbridgeworth junctions / crossings works.</t>
  </si>
  <si>
    <t>See IDP Evidence, Appendix 1 - Transport - HCC</t>
  </si>
  <si>
    <t>(a) Amwell junction</t>
  </si>
  <si>
    <t>(b) Sawbridgeworth improvements</t>
  </si>
  <si>
    <t>Hertfordshire County Council (HCC) / Developer(s)</t>
  </si>
  <si>
    <t>HCC identified schemes at Amwell junction and in Sawbridgworth required to meet the needs and mitigate the impacts of new development by maintaining operation of the public highway and supporting active and sustainable modes of travel.</t>
  </si>
  <si>
    <t>Costs as provided within the Gilston Villages 1-6 and 7 Heads of Terms. 
(a) £2,300,000
(b) £1,000,000</t>
  </si>
  <si>
    <t>HCC identify both (a) and (b) required to meet the needs and mitigate the impacts of the Gilston Area development.
(a) Gilston V1-6 developers to fund the lesser of 85% of £2,300,000 or £1,955,000, and Gilston V7 to fund the lesser of 15% of £2,300,000 or £345,000
(b) Gilston V1-6 developers to fund the lesser of 85% of £1,000,000 or £850,000, and Gilston V7 to fund the lesser of 15% of £1,000,000 or £150,000.</t>
  </si>
  <si>
    <t>85% contribution to projects (a) and (b)</t>
  </si>
  <si>
    <t>15% contribution to projects (a) and (b)</t>
  </si>
  <si>
    <t>HCC anticipate improvement to the Amwell junction required approximately by either delivery of occupation of 2,500 dwellings in villages 1-7, or payment of a contribution of £2,300,000 on the occupation of 1,500 dwellings in villages 1-7; and improvements to Sawbridgeworth public highway by occupation of 3,500 dwellings in Villages 1-7.</t>
  </si>
  <si>
    <r>
      <t xml:space="preserve">TR5
</t>
    </r>
    <r>
      <rPr>
        <sz val="11"/>
        <rFont val="Gill Sans MT"/>
        <family val="2"/>
      </rPr>
      <t>(TR17, TR8, TR14, TR16)</t>
    </r>
  </si>
  <si>
    <t>(a) by February 2024</t>
  </si>
  <si>
    <t xml:space="preserve">ECC identified a range of schemes at key highway junctions in support of the Local Plan Examinations where works are required to facilitate delivery of the STC network through maintaining operation of the highway network on key arterial roads as well as deliver local improvements for walking, cycling and public transport priority. </t>
  </si>
  <si>
    <r>
      <rPr>
        <b/>
        <sz val="11"/>
        <rFont val="Gill Sans MT"/>
        <family val="2"/>
      </rPr>
      <t xml:space="preserve">YES: </t>
    </r>
    <r>
      <rPr>
        <sz val="11"/>
        <rFont val="Gill Sans MT"/>
        <family val="2"/>
      </rPr>
      <t>Contributions to be index linked from 1Q 2022 using BCIS Road Tender Price Index or as otherwise updated.</t>
    </r>
  </si>
  <si>
    <t>Contribution may be sought based upon development impact</t>
  </si>
  <si>
    <t>Additional Developer contributions may be sought for the unfunded schemes subject to further assessment.</t>
  </si>
  <si>
    <t>Essex Public Highway improvements, including:
(a) Old Rd Rail Bridge closure and signal works;
(b) Edinburgh Way / Howard Way junction;
(c) Water Lane / Southern Way / Katherine's Way junction and Southern Way traffic calming scheme;
(d) Third Ave / Abercrombie Way junction;
(e) Second Ave / Manston Rd / Tripton Rd junction;
(f) Second Ave / Howard Way / Tillwicks Rd junction;</t>
  </si>
  <si>
    <t>Direct Delivery of (b)</t>
  </si>
  <si>
    <t>Contribution of 15% of total cost of (b) to be directly paid to Village 1-6</t>
  </si>
  <si>
    <t>Contribution may be sought for (d), (e) and (f)</t>
  </si>
  <si>
    <t>Delivery or Contribution to (c). Additional contributions may also be sought for (d), (e) and (f)</t>
  </si>
  <si>
    <t>Contribution may be sought for (e) and (f)</t>
  </si>
  <si>
    <t>Gilston Area new garden community public highway access works, including:
(a) New access into Village 1;
(b) New access into Village 2;
(c) Upgraded access into Village 7 at A414/Church Lane.</t>
  </si>
  <si>
    <t>See IDP Evidence, Appendix 1 - Transport Infrastructure, East Herts and Hertfordshire County Council Gilston Area Highway Works</t>
  </si>
  <si>
    <t>Site access required to deliver development / phase of development</t>
  </si>
  <si>
    <t>(a) Village 1 access</t>
  </si>
  <si>
    <t>(b) Village 2 access</t>
  </si>
  <si>
    <t>Gilston Area Developer(s)</t>
  </si>
  <si>
    <t>Site accesses required to allow construction and / or occupation of the development.</t>
  </si>
  <si>
    <t>Delivery of Accesses to be agreed at Masterplan / Application stage</t>
  </si>
  <si>
    <t>Delivery and cost form intrinsic part of the Development.</t>
  </si>
  <si>
    <t>Site accesses to be delivered by respective developers.</t>
  </si>
  <si>
    <t>Delivery of Village 1 and 2 Accesses to be agreed at Masterplan / Application stage</t>
  </si>
  <si>
    <t>Delivery of Village 7 Access to be agreed at Masterplan / Application stage</t>
  </si>
  <si>
    <t>Village 1 access expected to be required by 2024/25 to support first occupation of village 1; Village 2 access expected to be required by 2027/28 to support 1,500th occupation in Villages 1-6; Phasing of Village 7 access currently unknown</t>
  </si>
  <si>
    <t xml:space="preserve">East of Harlow new garden community public highway access works, including:
(a) New access junction near Mayfield Farm and access road;
(b) New access junction from Sheering Road and access road;
(c) New access junction near Nursery Site east of Gilden Way and access road;
(d) Hospital &amp; Health Campus M11 Junction 7A and Campions Roundabout modifications. </t>
  </si>
  <si>
    <t>See IDP Evidence, Appendix 1 - Transport Infrastructure, Harlow, Epping Forest and Essex County Councils East of Harlow Highway Works</t>
  </si>
  <si>
    <t>1st access</t>
  </si>
  <si>
    <t>(d) Hospital access</t>
  </si>
  <si>
    <t>1st development access expected to be required by 2025/26 to support first occupation Phasing and order of accesses currently unknown; (d) Hospital access expected to be required by 2030 to support new Hospital</t>
  </si>
  <si>
    <t>Water Lane new garden community new / improved public highway access works.</t>
  </si>
  <si>
    <t>See IDP Evidence, Appendix 1 - Transport Infrastructure, Epping Forest and Essex County Councils Water Lane Highway Works</t>
  </si>
  <si>
    <t>1st access expected to be required by 2023/24 to support first occupation; Phasing and order of accesses currently unknown</t>
  </si>
  <si>
    <t>Latton Priory new garden community public highway access works, including:
- New access junction with B1393 / M11 Junction 7.</t>
  </si>
  <si>
    <t>See IDP Evidence, Appendix 1 - Transport Infrastructure, Epping Forest and Essex County Councils Latton Priory Highway Works</t>
  </si>
  <si>
    <r>
      <t xml:space="preserve">TR10
</t>
    </r>
    <r>
      <rPr>
        <sz val="11"/>
        <rFont val="Gill Sans MT"/>
        <family val="2"/>
      </rPr>
      <t>(new)</t>
    </r>
  </si>
  <si>
    <t>Electric Vehicle Charging, including:
- on-site electric vehicle charging connections at residential properties, work places and other destinations.</t>
  </si>
  <si>
    <t>See IDP Evidence, Appendix 1 - Transport Infrastructure, Harlow, East Herts and Epping Forest District Councils Electric Vehicle charging</t>
  </si>
  <si>
    <t>Developer(s) / Operators</t>
  </si>
  <si>
    <t>Electric Vehicle Charging facilities to be provided in all new developments in accordance with Policies.</t>
  </si>
  <si>
    <t>Provision to be agreed at masterplan / Application stage</t>
  </si>
  <si>
    <t>To be delivered by developers.</t>
  </si>
  <si>
    <t>On-site provision as necessary to support residents, workers and visitors</t>
  </si>
  <si>
    <t>Current Estimated Funding Gap</t>
  </si>
  <si>
    <t>TOTALS</t>
  </si>
  <si>
    <t>TOTAL ESTIMATED VALUE OF TRANSPORT INFRASTRUCTURE</t>
  </si>
  <si>
    <t>TOTAL CURRENT ESTIMATED IDENTIFIED FUNDING</t>
  </si>
  <si>
    <t>TOTAL ESTIMATED FUNDING GAP</t>
  </si>
  <si>
    <t xml:space="preserve">VALUE APPORTIONED TO DEVELOPMENT </t>
  </si>
  <si>
    <t>VALUE APPORTIONED TO DEVELOPMENT</t>
  </si>
  <si>
    <t>VALUE OF ROLLING INFRASTRUCTURE FUND</t>
  </si>
  <si>
    <t>£TBC</t>
  </si>
  <si>
    <t>Early Years</t>
  </si>
  <si>
    <t>ED1</t>
  </si>
  <si>
    <t>EHA8</t>
  </si>
  <si>
    <t>Approx. 64 early years places to meet the needs of new residents at East Harlow (Epping portion)</t>
  </si>
  <si>
    <t xml:space="preserve">ECC / Operators / Developers </t>
  </si>
  <si>
    <t>Developer contributions (S106) / DfE / Operators / ECC / (Working Parents Allowance)</t>
  </si>
  <si>
    <t>Reviewed by Arup</t>
  </si>
  <si>
    <t>Assumed that developer contributions will meet full costs</t>
  </si>
  <si>
    <t xml:space="preserve">Modelled early years space - newly arising need only, on the EFDC portion of the site only. Costs depend on solution identified; costs shown based on new-build building.
Land will also be required; overall costs (including land) to be shared equitably and proportionally across relevant sites.
</t>
  </si>
  <si>
    <t>Consultation with Essex County Council Education</t>
  </si>
  <si>
    <t>On site or contribution</t>
  </si>
  <si>
    <t>ED2</t>
  </si>
  <si>
    <t>LPR4</t>
  </si>
  <si>
    <t>Approx. 79 early years places to meet the needs of new residents at Latton Priory</t>
  </si>
  <si>
    <t xml:space="preserve">Modelled early years space - newly arising need only. Costs depend on solution identified; costs shown based on new-build building.
Land will also be required; overall costs (including land) to be shared equitably and proportionally across relevant sites.
</t>
  </si>
  <si>
    <t>On site provision or contribution</t>
  </si>
  <si>
    <t>ED3</t>
  </si>
  <si>
    <t>WLA7</t>
  </si>
  <si>
    <t>Approx. 158 early years places to meet the needs of new residents at Water Lane Area</t>
  </si>
  <si>
    <t>Modelled early years space  - newly arising need only. Costs depend on solution identified; costs shown based on new-build building.
Land will also be required; overall costs (including land) to be shared equitably and proportionally across relevant sites.</t>
  </si>
  <si>
    <t>ED4</t>
  </si>
  <si>
    <t>Childcare facility (approx. 1650sqm) at Gilston Villages 1-6</t>
  </si>
  <si>
    <t xml:space="preserve">HCC / Operators / Developers </t>
  </si>
  <si>
    <t>On-site provision (developer to build and then lease)</t>
  </si>
  <si>
    <t>Reviewed by Arup - based on baseline of 7sqm per place</t>
  </si>
  <si>
    <t>2022 onwards</t>
  </si>
  <si>
    <t>One facility delivered in each village. Hertforshire County Council expect direct delivery rather than a financial contribution.</t>
  </si>
  <si>
    <t>East Herts Village 1-6 site requirement note</t>
  </si>
  <si>
    <t>On site provision</t>
  </si>
  <si>
    <t>ED5</t>
  </si>
  <si>
    <t>Childcare facility (approx. 275sqm) at Gilston Village 7</t>
  </si>
  <si>
    <t>2023 onwards</t>
  </si>
  <si>
    <t>Hertforshire County Council expect direct delivery rather than a financial contribution.</t>
  </si>
  <si>
    <t>East Herts Village 7 site requirement note</t>
  </si>
  <si>
    <t>ED6</t>
  </si>
  <si>
    <t>EY_3</t>
  </si>
  <si>
    <t>Approx. 349 additional places in Old Harlow ward</t>
  </si>
  <si>
    <t xml:space="preserve">ECC / Operators  </t>
  </si>
  <si>
    <t>2018-2028</t>
  </si>
  <si>
    <t>Some expected contributions from Gilden Way development.</t>
  </si>
  <si>
    <t>ED7</t>
  </si>
  <si>
    <t>EY_9</t>
  </si>
  <si>
    <t>Approx. 50 additional places in Little Parndon and Hare Street ward</t>
  </si>
  <si>
    <t>ED8</t>
  </si>
  <si>
    <t>EY_10</t>
  </si>
  <si>
    <t>Approx. 38 additional places in Todd Brook ward</t>
  </si>
  <si>
    <t xml:space="preserve">Estimated contribution based on Essex County Council's Guide to Infrastructure Contributions </t>
  </si>
  <si>
    <t>ED9</t>
  </si>
  <si>
    <t>EY_1</t>
  </si>
  <si>
    <t>Approx. 23 additional places in Bush Fair ward</t>
  </si>
  <si>
    <t>ED10</t>
  </si>
  <si>
    <t>EY_4</t>
  </si>
  <si>
    <t>Approx. 8 additional places in Sumners and Kingsmoor ward</t>
  </si>
  <si>
    <t>ED11</t>
  </si>
  <si>
    <t>EY_8</t>
  </si>
  <si>
    <t>Approx. 2 additional places in Church Langley ward</t>
  </si>
  <si>
    <t>No proposed allocations fall within this ward</t>
  </si>
  <si>
    <t>Note, no proposed allocations fall within this ward.</t>
  </si>
  <si>
    <t>ED12</t>
  </si>
  <si>
    <t>EY_5</t>
  </si>
  <si>
    <t>Approx. 1 additional place in Harlow Common ward</t>
  </si>
  <si>
    <t>Primary</t>
  </si>
  <si>
    <t>ED13</t>
  </si>
  <si>
    <t>EHA9</t>
  </si>
  <si>
    <t>New 2FE (2.1ha site) primary school, including early years provision, at East Harlow (Epping portion)</t>
  </si>
  <si>
    <t xml:space="preserve">ECC / Academy Trusts / Developers </t>
  </si>
  <si>
    <t>Essex County Council (revised 2018 costs)</t>
  </si>
  <si>
    <t>Estimated contribution based on Essex County Council's Guide to Infrastructure Contributions - note, pupil yield dependent on housing mix etc.</t>
  </si>
  <si>
    <t>Cost provided by ECC. Phasing estimated based on expected delivery of housing and may be further refined.
Land will also be required; overall costs (including land) to be shared equitably and proportionally across relevant sites.
Assumption that school may be delivered in phases.</t>
  </si>
  <si>
    <t>Requirement for primary school in this location agreed in principle with developer</t>
  </si>
  <si>
    <t>ED14</t>
  </si>
  <si>
    <t>PS_2</t>
  </si>
  <si>
    <t>New 2FE primary school at Newhall Phases 2/3 (2.25ha site requirement), including early years provision, to support a combination of growth at Newhall 2/3 and wider Harlow growth</t>
  </si>
  <si>
    <t>See notes</t>
  </si>
  <si>
    <t>There is a possibility that there may be a need for further contributions from other allocations. No decision has been made on the delivery of this school as the trigger has not been reached.</t>
  </si>
  <si>
    <t>Miller Homes believe that they should not be required to contribute to this given other primary provision they will be contributing to</t>
  </si>
  <si>
    <t>On site provision and contribution</t>
  </si>
  <si>
    <t>ED15</t>
  </si>
  <si>
    <t>PS_5</t>
  </si>
  <si>
    <t>New 3FE (3ha site) primary school, including early years provision, at East Harlow (Harlow portion)</t>
  </si>
  <si>
    <t>Cost provided by ECC. Phasing estimated based on expected delivery of housing and may be further refined.
Land will also be required; overall costs (including land) to be shared equitably and proportionally across relevant sites.
Assumption that school may be delivered in phases.
Some expected contributions from Gilden Way development.</t>
  </si>
  <si>
    <t>ED16</t>
  </si>
  <si>
    <t>LPR5</t>
  </si>
  <si>
    <t>New 2FE (2.1ha site) primary school, including early years provision, at Latton Priory</t>
  </si>
  <si>
    <t>Requirement for primary school in this location agreed in principle with promoter</t>
  </si>
  <si>
    <t>ED17</t>
  </si>
  <si>
    <t>WLA8</t>
  </si>
  <si>
    <t>New 3FE (2.5ha site) primary school, including early years provision, at Water Lane Area</t>
  </si>
  <si>
    <t>Requirement for primary school in this location agreed in principle with developers</t>
  </si>
  <si>
    <t>ED18</t>
  </si>
  <si>
    <t>Requirement of 17FE of primary education, with each school including early years provision</t>
  </si>
  <si>
    <t xml:space="preserve">HCC / Academy Trusts / Developers </t>
  </si>
  <si>
    <t>Hertfordshire County Council (revised 2018 costs - see notes)</t>
  </si>
  <si>
    <t>Hertfordshire County Council costs provided as Q3 2017 (£70,537,291.20) - indexed using BCIS.
3FE schools have a 2.95ha site size requirement and 2FE schools have a 2.25ha site size requirement.</t>
  </si>
  <si>
    <t>Consultation with Hertfordshire County Council Education</t>
  </si>
  <si>
    <t>Number of forms of entry and delivery model currently being disputed by Places for People</t>
  </si>
  <si>
    <t>ED19</t>
  </si>
  <si>
    <t>Additional safeguarded provision at Gilston (additional 3FE across primary schools)</t>
  </si>
  <si>
    <t>2043 onwards</t>
  </si>
  <si>
    <t xml:space="preserve">Given the size and length of build-out of Gilston there is a need to safeguard provision for up to 20FE of primary education. Cost is the difference between the indexed costs provided by Hertfordshire County Council. </t>
  </si>
  <si>
    <t>ED20</t>
  </si>
  <si>
    <t>PS_4</t>
  </si>
  <si>
    <t xml:space="preserve">6FE of expansions to existing primary schools within Harlow </t>
  </si>
  <si>
    <t xml:space="preserve">Harlow IDP (2018); uprated to 2018 costs using information from Essex County Council </t>
  </si>
  <si>
    <t>Hertfordshire County Council costs provided as Q3 2017 (£83,355,053) - indexed using BCIS.</t>
  </si>
  <si>
    <t>Secondary</t>
  </si>
  <si>
    <t>ED21</t>
  </si>
  <si>
    <t>EHA10</t>
  </si>
  <si>
    <t>New 8FE (10ha site) secondary school at East Harlow</t>
  </si>
  <si>
    <t xml:space="preserve">Cost provided by ECC. Phasing estimated based on expected delivery of housing and may be further refined.
Land will also be required; overall costs (including land) to be shared equitably and proportionally across relevant sites.
Assumption that school may be delivered in phases.
Some expected contributions from Gilden Way development.
</t>
  </si>
  <si>
    <t>Requirement for secondary school in this location agreed in principle with developer</t>
  </si>
  <si>
    <t>ED22</t>
  </si>
  <si>
    <t>LPR6</t>
  </si>
  <si>
    <t>New 8FE (10ha site) secondary school at Latton Priory</t>
  </si>
  <si>
    <t xml:space="preserve">Cost provided by ECC. Phasing estimated based on expected delivery of housing and may be further refined.
Land will also be required; overall costs (including land) to be shared equitably and proportionally across relevant sites.
Assumption that school may be delivered in phases.
</t>
  </si>
  <si>
    <t>Requirement for secondary school in this location agreed in principle with promoter</t>
  </si>
  <si>
    <t>ED23</t>
  </si>
  <si>
    <t>8FE secondary school at Gilston</t>
  </si>
  <si>
    <t>HCC / Academy Trusts / Developers</t>
  </si>
  <si>
    <t xml:space="preserve">Developer contributions (S106) </t>
  </si>
  <si>
    <t>2022-2035</t>
  </si>
  <si>
    <t>Hertfordshire County Council costs provided as Q3 2017 (£37,332,857.28) - indexed using BCIS.</t>
  </si>
  <si>
    <t>ED24</t>
  </si>
  <si>
    <t>9FE secondary school at Gilston</t>
  </si>
  <si>
    <t>2030 onwards</t>
  </si>
  <si>
    <t>Hertfordshire County Council costs provided as Q3 2017 (£41,461,280.64) - indexed using BCIS.</t>
  </si>
  <si>
    <t>ED25</t>
  </si>
  <si>
    <t>Additional safeguarded provision at Gilston (additional 3FE across the two secondary schools)</t>
  </si>
  <si>
    <t>2038 onwards</t>
  </si>
  <si>
    <t xml:space="preserve">Given the size and length of build-out of Gilston there is a need to safeguard provision for up to 20FE of secondary education. Cost is the difference between the indexed costs provided by Hertfordshire County Council. </t>
  </si>
  <si>
    <t>Other</t>
  </si>
  <si>
    <t>ED26</t>
  </si>
  <si>
    <t>SEN provision</t>
  </si>
  <si>
    <t xml:space="preserve">ECC / HCC / Academy Trusts / Developers </t>
  </si>
  <si>
    <t>Developer contributions (S106) / DfE / ECC / HCC</t>
  </si>
  <si>
    <t xml:space="preserve">Essex County Council </t>
  </si>
  <si>
    <t xml:space="preserve">Requirements likely to be: expansion of existing special school by 24 places; development of 75 place special school (via free school application); and development of 8 place provision for children with social, emotional and mental health needs in a mainstream primary school. Not all of these places may be additional to the mainstream requirements; however, given the small impact no adjustment has been made to the mainstream requirements. </t>
  </si>
  <si>
    <t>ED27</t>
  </si>
  <si>
    <t>AE_1</t>
  </si>
  <si>
    <t>Post 16 education provision (details to be confirmed)</t>
  </si>
  <si>
    <t>ESFA, DfE</t>
  </si>
  <si>
    <t>ED28</t>
  </si>
  <si>
    <t>Contribution to employment and training to support Harlow Skills Strategy</t>
  </si>
  <si>
    <t>HDC / EFDC / EHDC / ECC / HCC / Providers</t>
  </si>
  <si>
    <t>Consultation with Harlow and Gilston Garden Town</t>
  </si>
  <si>
    <t>Note: risk allowance not applied to school costs as already built in to base costs</t>
  </si>
  <si>
    <t>Provision / Cost to be Apportioned to Windfall / developments outside HGGT</t>
  </si>
  <si>
    <t>Education Infrastructure / Services</t>
  </si>
  <si>
    <t>S2</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</si>
  <si>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education this should include:
a) freeholds of new floorspace provided for new early years and childcare;
b) any agreed arrangements for community use of school facilities;
c) any long term skills strategy associated with jobs for maintenance of assets under stewardship.</t>
    </r>
  </si>
  <si>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health this should include:
- freeholds of new floorspace provided for new GP surgeries, dentists and pharmacies.</t>
    </r>
  </si>
  <si>
    <t>Early Years and Childcare</t>
  </si>
  <si>
    <r>
      <t xml:space="preserve">ED1
</t>
    </r>
    <r>
      <rPr>
        <sz val="11"/>
        <rFont val="Gill Sans MT"/>
        <family val="2"/>
      </rPr>
      <t>(ED1-ED12)</t>
    </r>
  </si>
  <si>
    <t>See IDP Evidence, Appendix 2 - Education Infrastructure, Responses from Hertfordshire and Essex County Council</t>
  </si>
  <si>
    <t>Essex County Council (ECC) / Hertfordshire County Council (HCC) / Operator(s) / Developer(s)</t>
  </si>
  <si>
    <r>
      <rPr>
        <b/>
        <sz val="11"/>
        <rFont val="Gill Sans MT"/>
        <family val="2"/>
      </rPr>
      <t>YES</t>
    </r>
    <r>
      <rPr>
        <sz val="11"/>
        <rFont val="Gill Sans MT"/>
        <family val="2"/>
      </rPr>
      <t>: ECC Costs to be index linked from 1Q 2022 using BCIS All-in Tender Price Index or as otherwise updated.</t>
    </r>
  </si>
  <si>
    <t>Floorspace for new early years facilities to be provided on sites of 250+ homes</t>
  </si>
  <si>
    <t>ECC Developer's Guide for Infrastructure Contributions (Revised 2020): All residential developments of 20 or more dwellings will be assessed to see if a contribution towards Early Years and Childcare is necessary or smaller developments where there is considered to be a cumulative impact. Developments of 250+ units likely to require provision of a new facility.</t>
  </si>
  <si>
    <r>
      <rPr>
        <b/>
        <sz val="11"/>
        <rFont val="Gill Sans MT"/>
        <family val="2"/>
      </rPr>
      <t>YES</t>
    </r>
    <r>
      <rPr>
        <sz val="11"/>
        <rFont val="Gill Sans MT"/>
        <family val="2"/>
      </rPr>
      <t>: ECC Contributions to be index linked from 1Q 2022 using BCIS All-in Tender Price Index or as otherwise updated.</t>
    </r>
  </si>
  <si>
    <t>New Early Years facilities and / or contributions may need to be provided for developments 250+ units</t>
  </si>
  <si>
    <r>
      <rPr>
        <b/>
        <sz val="11"/>
        <rFont val="Gill Sans MT"/>
        <family val="2"/>
      </rPr>
      <t>YES</t>
    </r>
    <r>
      <rPr>
        <sz val="11"/>
        <rFont val="Gill Sans MT"/>
        <family val="2"/>
      </rPr>
      <t>: ECC Contributions to be index linked from September 3Q 2020 using an Index to be advised or as otherwise updated.</t>
    </r>
  </si>
  <si>
    <t>(a.) 6no. new private Early Years facilities (c.300sqm each) and provision at each new Primary School</t>
  </si>
  <si>
    <t>(a.) 1no. new private Early Years facility (minimum 275sqm) and provision at the new Primary School</t>
  </si>
  <si>
    <t>(b.) up to c.234 early years places / on-site facilities likely to be required in addition / in lieu of contribution:</t>
  </si>
  <si>
    <t>(b.) up to c.68 early years places / on-site facilities likely to be required in addition / in lieu of contribution:</t>
  </si>
  <si>
    <t>(c.) up to c.189 early years places / on-site facilities likely to be required in addition / in lieu of contribution:</t>
  </si>
  <si>
    <t>(d.) up to c.95 early years places / on-site facilities likely to be required in addition / in lieu of contribution:</t>
  </si>
  <si>
    <t>(e.) up to c.50 early years places / on-site facilities likely to be required in addition / in lieu of contribution:</t>
  </si>
  <si>
    <t>up to c.6 early years places</t>
  </si>
  <si>
    <t>up to c.3 early years places</t>
  </si>
  <si>
    <t>up to c.2 early years places</t>
  </si>
  <si>
    <t>Contributions may be sought if a cumulative impact is considered to exist</t>
  </si>
  <si>
    <t>c.95 early years places</t>
  </si>
  <si>
    <t>Contributions/ new Early Years needs to be considered according to ECC Developer's Guide to Infrastructure Contributions</t>
  </si>
  <si>
    <t>New public Early Years facilities to be delivered alongside primary schools and new private Early Years spaces within new villages/neighbourhoods.</t>
  </si>
  <si>
    <t>Primary Education</t>
  </si>
  <si>
    <r>
      <t xml:space="preserve">ED2
</t>
    </r>
    <r>
      <rPr>
        <sz val="11"/>
        <rFont val="Gill Sans MT"/>
        <family val="2"/>
      </rPr>
      <t>(ED18 &amp; ED19)</t>
    </r>
  </si>
  <si>
    <t>Hertfordshire County Education Authority New Primary School provision, including:
a) up to 7no. Primary Schools / 20 Forms of Entry (FE) at Gilston Area (2.03ha each 2FE; 2.92ha each 3FE);</t>
  </si>
  <si>
    <t>See IDP Evidence, Appendix 2 - Education Infrastructure, Responses from Hertfordshire County Council</t>
  </si>
  <si>
    <t>Hertfordshire County Council (HCC) / Academy Trust(s) / Developer(s)</t>
  </si>
  <si>
    <t>HCC identify need for up to 20 FE new Primary Education school provision within the Gilston Area.</t>
  </si>
  <si>
    <t>up to 7no. new Primary Schools with up to 20 FE across Gilston Area</t>
  </si>
  <si>
    <r>
      <rPr>
        <b/>
        <sz val="11"/>
        <rFont val="Gill Sans MT"/>
        <family val="2"/>
      </rPr>
      <t>YES</t>
    </r>
    <r>
      <rPr>
        <sz val="11"/>
        <rFont val="Gill Sans MT"/>
        <family val="2"/>
      </rPr>
      <t>: Costs to be index linked from 1Q 2022 using BCIS All-in Tender Price Index or as otherwise updated.</t>
    </r>
  </si>
  <si>
    <t>Land for up to 7no. new Primary Schools, one in each new Gilston Area Village</t>
  </si>
  <si>
    <t>HCC contributions informed by DfE Scorecard (2021): New school costs rounded up to full 210 child FE.</t>
  </si>
  <si>
    <r>
      <rPr>
        <b/>
        <sz val="11"/>
        <rFont val="Gill Sans MT"/>
        <family val="2"/>
      </rPr>
      <t>YES</t>
    </r>
    <r>
      <rPr>
        <sz val="11"/>
        <rFont val="Gill Sans MT"/>
        <family val="2"/>
      </rPr>
      <t>: Contributions to be index linked from 1Q 2022 using BCIS All-in Tender Price Index or as otherwise updated.</t>
    </r>
  </si>
  <si>
    <t>(a) land for up to 6no. new Primary Schools for up to 17 FE (2.03ha each 2FE; 2.92ha each 3FE) and contribution:</t>
  </si>
  <si>
    <t>(a) land for 1no. new Primary School for up to 3FE (2.92ha) and contribution:</t>
  </si>
  <si>
    <t>Phasing required to meet new development needs.</t>
  </si>
  <si>
    <r>
      <t xml:space="preserve">ED3
</t>
    </r>
    <r>
      <rPr>
        <sz val="11"/>
        <rFont val="Gill Sans MT"/>
        <family val="2"/>
      </rPr>
      <t>(ED13-ED17)</t>
    </r>
  </si>
  <si>
    <t>Essex County Education Authority New Primary School provision, including:
a) 1no. new 2fe Primary School and 1no. new 3fe Primary School at East of Harlow; 
b) 1no. new 3fe Primary School at Water Lane (or 1no. new 2fe Primary School and 1fe expansion to existing primary school capacity);
c) 1no. new 2fe Primary School at Latton Priory;
d) 1no. new 2fe Primary School at Newhall Phases 2/3.</t>
  </si>
  <si>
    <t>See IDP Evidence, Appendix 2 - Education Infrastructure, Responses from Essex County Council</t>
  </si>
  <si>
    <t>(b); (c); (d)</t>
  </si>
  <si>
    <t>(a) 1st school</t>
  </si>
  <si>
    <t>(a) 2nd school</t>
  </si>
  <si>
    <t>Essex County Council (ECC) / Academy Trust(s) / Developer(s)</t>
  </si>
  <si>
    <t>ECC Developer's Guide for Infrastructure Contributions (Revised 2020): ECC estimates that the child yield is 0.3 per (2+bed) house. For the provision of new schools the IDP assumes the development must meet the full cost of the school provision except where other developments are identified as contributing.</t>
  </si>
  <si>
    <t>5no. new Primary Schools with up to 12 FE across ECC Education Authority area of the Garden Town</t>
  </si>
  <si>
    <t>ECC Developer's Guide for Infrastructure Contributions (Revised 2020): Each project considered on case by case basis with contribution of c. £20,508 for major new works / new schools. New school costs rounded up to full 210 child FE unless other developer contributions can be secured.</t>
  </si>
  <si>
    <t>Developer Contributions received for 1no. New 2fe primary school in Newhall Phases 2/3;</t>
  </si>
  <si>
    <t>Land for up to 7no. new Primary Schools to be provided at new garden communities</t>
  </si>
  <si>
    <t>ECC Developer's Guide for Infrastructure Contributions (Revised 2020): New school costs rounded up to full 210 child FE unless other developer contributions can be secured. HCC costs assumed to match ECC costs.</t>
  </si>
  <si>
    <t>Provision of land for a new Primary School may be required subject to local primary school capacity</t>
  </si>
  <si>
    <t>EFDC IDP (2020 Update) identifies contributions from allocation SHR.R2 comprising 62 homes towards Primary School provision at East of Harlow, contribution from East of Harlow reduced accordingly.</t>
  </si>
  <si>
    <t>Contributions from Newhall Phases 2/3 assumed to meet funding gap.</t>
  </si>
  <si>
    <t>(b) c.2.1ha for a new 2fe Primary School and c.3.0ha for a new 3fe Primary School to be agreed at Masterplan / Application stage and contribution:</t>
  </si>
  <si>
    <t>(c) up to c.3.0ha for up to 3fe new Primary School to be agreed at Masterplan / Application stage and contribution:</t>
  </si>
  <si>
    <t>(d) c.2.1ha for a new 2fe Primary School to be agreed at Masterplan / Application stage and contribution:</t>
  </si>
  <si>
    <t>(a) East of Harlow: 1st school expected between 2026-2030, 2nd school after 2030; (b) Water Lane: new school expected between 2024-26; (c) Latton Priory new school expected between 2024-26; (d) Newhall: new school expected to be built between 2023-2028. Exact timings to be agreed to meet needs.</t>
  </si>
  <si>
    <r>
      <t xml:space="preserve">ED4
</t>
    </r>
    <r>
      <rPr>
        <sz val="11"/>
        <rFont val="Gill Sans MT"/>
        <family val="2"/>
      </rPr>
      <t>(ED20)</t>
    </r>
  </si>
  <si>
    <t xml:space="preserve">Essex County Education Authority expanded Primary School provision, including:
a) up to 0.3 new places per dwelling for all developments larger than 20 units or where a cumulative impact occurs, subject to dwelling mix and existing capacity. Estimated up to 6 FE expansion to existing schools.  </t>
  </si>
  <si>
    <t>ECC Developer's Guide for Infrastructure Contributions (Revised 2020): ECC estimates that the child yield is 0.3 per (2+bed) house; and 0.15 per (2+bed) flat.</t>
  </si>
  <si>
    <t>up to 6 FE of expansion of existing Primary Schools across HGGT</t>
  </si>
  <si>
    <t>ECC Developer's Guide for Infrastructure Contributions (Revised 2020): Each project considered on case by case basis with contribution of c.£17,268 (1Q 2020) per child place for expansion of schools, index linked to 1Q 2022:
1no. Primary school space: £18,044 1Q 2022.</t>
  </si>
  <si>
    <t>ECC Developer's Guide for Infrastructure Contributions (Revised 2020): All residential developments of 20+ dwellings assessed for contribution toward Primary Education or where there is considered to be a cumulative impact. For purpose of IDP calculation, all development allocations assumed to be houses.</t>
  </si>
  <si>
    <t>ECC Developer's Guide for Infrastructure Contributions (Revised 2020): All residential developments of 20+ dwellings assessed for contribution toward Primary Education or where there is considered to be a cumulative impact. For purpose of IDP calculation, Town Centre windfall assumed to be flats.</t>
  </si>
  <si>
    <t>Actual provision may change subject to further assessment at application stage in accordance with the ECC Developer's Guide to Infrastructure Contributions such that a funding gap is unlikely to occur.</t>
  </si>
  <si>
    <t>Contribution may be sought where increased primary education capacity required:</t>
  </si>
  <si>
    <t>Contributions to be calculated according to ECC Developer's Guide to Infrastructure Contributions</t>
  </si>
  <si>
    <t>Required capacity to be determined, schools to be identified and projects to be confirmed.</t>
  </si>
  <si>
    <t>Essex County Education Authority Special Education Needs (SEN) for Primary Education, including:
a) approximately 46 additional SEN places may be required in Primary education settings as a result of the growth in the 3 new garden communities of East of Harlow, Water Lane and Latton Priory.</t>
  </si>
  <si>
    <t>ECC Developer's Guide for Infrastructure Contributions (Revised 2020): ECC estimates that approximately 7 SEN places are required per 1,000 homes.</t>
  </si>
  <si>
    <t>New Primary Schools may be considered for the provision of SEN facilities</t>
  </si>
  <si>
    <t>ECC Developer's Guide for Infrastructure Contributions (Revised 2020): Department for Education Guidance recommends that SEN contributions are set at 4 times the rate of mainstream places, equating to a contribution of c. £82,032 (1Q 2020):
£85,716 1Q 2022.</t>
  </si>
  <si>
    <t>For purposes of IDP:
Contributions assumed from each of the new garden communities of East of Harlow, Water Lane and Latton Priory on basis of cumulative growth of 6500 homes. Calculations assume 'worst case' based on all housing developments and new build SEN provision. Actual requirements to be agreed at application stage.</t>
  </si>
  <si>
    <t>Phasing to meet needs</t>
  </si>
  <si>
    <t>Secondary Education &amp; Post-16 Education</t>
  </si>
  <si>
    <r>
      <t xml:space="preserve">ED6
</t>
    </r>
    <r>
      <rPr>
        <sz val="11"/>
        <rFont val="Gill Sans MT"/>
        <family val="2"/>
      </rPr>
      <t>(ED23-ED25)</t>
    </r>
  </si>
  <si>
    <t>Hertfordshire County Education Authority new Secondary School provision for the Gilston Area, including:
a)  1no. Secondary Schools up to 8 FE at Gilston Area Village 1 (c.10.78ha of land);
b)  1no. Secondary School up to 12 FE at Gilston Area Village 5 (c.12.9ha of land).</t>
  </si>
  <si>
    <t>HCC identify need for up to 20 FE new Secondary Education school provision within the Gilston Area subject to dwelling mix and monitoring.</t>
  </si>
  <si>
    <t>2no. new Secondary Schools with up to 20 FE (10.78ha + 12.9ha) in the Gilston Area</t>
  </si>
  <si>
    <r>
      <rPr>
        <b/>
        <sz val="11"/>
        <rFont val="Gill Sans MT"/>
        <family val="2"/>
      </rPr>
      <t>YES</t>
    </r>
    <r>
      <rPr>
        <sz val="11"/>
        <rFont val="Gill Sans MT"/>
        <family val="2"/>
      </rPr>
      <t>: Costs to be index linked from 1Q 2022 using BCIS All-in Tender price Index or as otherwise updated.</t>
    </r>
  </si>
  <si>
    <t>up to 10.78ha land at Village 1 and up to 12.9ha land at Village 5 for 2no. new Secondary Schools</t>
  </si>
  <si>
    <t>Hertfordshire County Education Authority new Secondary School provision for the Gilston Area, including:
a)  1no. Secondary Schools up to 8 FE at Gilston Area Village 1 (10.78ha of land);
b)  1no. Secondary School up to 12 FE at Gilston Area Village 5 (12.9ha of land).</t>
  </si>
  <si>
    <r>
      <t xml:space="preserve">ED7
</t>
    </r>
    <r>
      <rPr>
        <sz val="11"/>
        <rFont val="Gill Sans MT"/>
        <family val="2"/>
      </rPr>
      <t>(new)</t>
    </r>
  </si>
  <si>
    <t>Essex County Council (ECC) / Academy Trust(s) / developer(s)</t>
  </si>
  <si>
    <t>HCC have identified the need for temporary provisions to meet Secondary Education needs until sufficient pupil numbers triggers on-site new Secondary School.</t>
  </si>
  <si>
    <t>HCC have modelled short term and mid term scenarios as follows:
At 4 FE child yield = £4.1 m for temporary buildings, £2.5m for school transport and £0 for revenue support.</t>
  </si>
  <si>
    <t>Cost of off site school transport could be higher or lower depending on build out rates/occupancy and the point at which permanent secondary provision on site becomes operational.</t>
  </si>
  <si>
    <t>Gilston villages 1-6 and Gilston village 7 each to pay the lower of 50% or £2,050,000 or as required for the application of the appropriately indexed DfE balanced scorecard for school construction , for the temporary secondary school facilities. (cost in total capped at £4,100,000). 
Gilston Villages 1-6 to pay the lower of 85% or £2,125,000 for secondary education off-site transport contribution, and Village 7 are to pay the lower of 15% or £375,000. (cost in total capped at £2,500,000.</t>
  </si>
  <si>
    <t>Hertfordshire County Education Authority Off-site school transport and temporary Secondary School accommodation and revenue support to mitigate impact of early Secondary Education provision, including early provision at 4 FE of child yield.</t>
  </si>
  <si>
    <t>Phasing required to meet needs</t>
  </si>
  <si>
    <t>#</t>
  </si>
  <si>
    <t>Hertfordshire County Education Authority Special Education Needs (SEN) for both Primary and Secondary Education, including:
a) approximately 60 additional SEN places may be required in both Primary and Secondary education settings.</t>
  </si>
  <si>
    <t>HCC have identified for need for up to 60 SEN pupil places in a variety of Primary and Secondary settings at the Gilston Area Villages 1-7</t>
  </si>
  <si>
    <t>HCC estimate SEN provision at 4 times the rate of mainstream places and estimate a contribution of c. £150,000 per pupil place.</t>
  </si>
  <si>
    <t>New Primary and Secondary Schools may be considered for the provision of SEN facilities</t>
  </si>
  <si>
    <r>
      <t xml:space="preserve">ED9
</t>
    </r>
    <r>
      <rPr>
        <sz val="11"/>
        <rFont val="Gill Sans MT"/>
        <family val="2"/>
      </rPr>
      <t>(ED21-ED24)</t>
    </r>
  </si>
  <si>
    <t>Essex County Education Authority new Secondary School provision, including:
a)  1no. Secondary School up to 6 FE at East of Harlow;
b) 1no. Secondary School up to 6 FE at Latton Priory.</t>
  </si>
  <si>
    <t xml:space="preserve">ECC Developer's Guide for Infrastructure Contributions (Revised 2020): ECC estimates that the child yield is 0.2 per (2+bed) house; and 0.1 per (2+bed) flat. </t>
  </si>
  <si>
    <t>2no. new Secondary Schools with up to 12fe across ECC Education Authority area in the Garden Town</t>
  </si>
  <si>
    <t>ECC Developer's Guide for Infrastructure Contributions (Revised 2020): £24,929 per school place for new schools (1Q 2020):
£26,049 1Q 2022.
New community school costs rounded up to full 150 child FE unless other developer contributions can be secured.</t>
  </si>
  <si>
    <t>Land for 1no. new Secondary School to be provided at East of Harlow and 1no. at Latton Priory new garden communities</t>
  </si>
  <si>
    <t xml:space="preserve">For the purposes of IDP: Contributions from East of Harlow and from Latton Priory allocations rounded up to 5fe; other development sites assumed to contribute to the remaining cost of delivery of full 6fe minimum scale calculated on child yield basis only. </t>
  </si>
  <si>
    <t>EFDC IDP (2020 Update) identifies contributions from allocations at Roydon and Nazeing (166 homes) to Latton Priory Secondary School; And contributions from allocation SHR.R2 (62 homes) to East of Harlow Secondary School. Assumed to contribute to the remaining cost of delivery of full 6fe minimum school size, calculated on child yield basis</t>
  </si>
  <si>
    <t xml:space="preserve">Estimated contributions currently exceed costs for delivery of 2no. new secondary schools, however, some contributions from smaller developments may be used for increasing capacity at existing secondary schools instead of delivery of the new schools and contributions will only be sought where a need is demonstrated.  </t>
  </si>
  <si>
    <t>(a) land for 1no. new Secondary School for up to 6fe to be agreed at Masterplan / Application stage and contribution:</t>
  </si>
  <si>
    <t>Contribution to new secondary school at Latton Priory</t>
  </si>
  <si>
    <t>(b) land for 1no. new Secondary Schools for up to 8 FE to be agreed at Masterplan / Application stage and contribution:</t>
  </si>
  <si>
    <t>Contribution to new secondary school capacity</t>
  </si>
  <si>
    <t>Contributions from EFDC allocations at Roydon, Nazing and SHR.R2 (total 228 homes)</t>
  </si>
  <si>
    <t>Essex County Education Authority Special Education Needs (SEN) for Secondary Education, including:
a) approximately 46 additional SEN places may be required in Secondary education settings as a result of the growth in the 3 new garden communities of East of Harlow, Water Lane and Latton Priory.</t>
  </si>
  <si>
    <t>New Secondary Schools may be considered for the provision of SEN facilities</t>
  </si>
  <si>
    <t>ECC Developer's Guide for Infrastructure Contributions (Revised 2020): Department for Education Guidance recommends that SEN contributions are set at 4 times the rate of mainstream places, equating to a contribution of c. £99,716 (1Q 2020):
£104,194 1Q 2022.</t>
  </si>
  <si>
    <t>New Secondary School may be considered for the provision of SEN facilities</t>
  </si>
  <si>
    <r>
      <t xml:space="preserve">ED11
</t>
    </r>
    <r>
      <rPr>
        <sz val="11"/>
        <rFont val="Gill Sans MT"/>
        <family val="2"/>
      </rPr>
      <t>(ED27)</t>
    </r>
  </si>
  <si>
    <t>Essex County Education Authority Post-16 Education provision, including:
a)  new post 16 education provision as necessary.</t>
  </si>
  <si>
    <t>ECC Developer's Guide for Infrastructure Contributions (Revised 2020): ECC estimates that the child yield is 0.04 per 2+bed house; 0.02 per 2+bed flat; and 0.01 per 1bed flat. IDP assumes all houses for purpose of calculations.</t>
  </si>
  <si>
    <t>ECC Developer's Guide for Infrastructure Contributions (Revised 2020): Each project considered on case by case basis with contribution of c. £23,962 for Post-16 Education provision.</t>
  </si>
  <si>
    <t>For purposes of IDP:
All developments of 20+ homes assumed to contribute. All allocations assumed to be houses to provide a 'worst case' contribution assessment.</t>
  </si>
  <si>
    <r>
      <rPr>
        <b/>
        <sz val="11"/>
        <rFont val="Gill Sans MT"/>
        <family val="2"/>
      </rPr>
      <t>YES</t>
    </r>
    <r>
      <rPr>
        <sz val="11"/>
        <rFont val="Gill Sans MT"/>
        <family val="2"/>
      </rPr>
      <t>: Contribution to be index linked from Q1 2020 using an Index to be advised or as otherwise updated.</t>
    </r>
  </si>
  <si>
    <t>For purposes of IDP:
All developments of 20+ homes assumed to contribute. All town centre homes assumed to be 2 bed flats to provide a 'worst case' contribution assessment.</t>
  </si>
  <si>
    <t>Contribution may be sought dependent upon need:</t>
  </si>
  <si>
    <r>
      <t xml:space="preserve">ED12
</t>
    </r>
    <r>
      <rPr>
        <sz val="11"/>
        <rFont val="Gill Sans MT"/>
        <family val="2"/>
      </rPr>
      <t>(new)</t>
    </r>
  </si>
  <si>
    <t>Essex County Education Authority School Transport.</t>
  </si>
  <si>
    <t>ECC Developer's Guide for Infrastructure Contributions (Revised 2020): Where development is proposed in locations that may require ECC to provide school transport, developer contributions are sought to fund provision for a minimum of seven years for primary and five years for secondary pupils.</t>
  </si>
  <si>
    <t>ECC Developer's Guide for Infrastructure Contributions (Revised 2020): On average the cost of transporting a primary school child to school is around £11.40 per day (return) and £5.30 for secondary school transport:
primary: £13 1Q 2022;
secondary: £6 1Q 2022.</t>
  </si>
  <si>
    <t>Assumptions for IDP:
East Harlow &amp; Latton Priory: 25% contributions to secondary only;
Water Lane: 100% contributions to secondary only;
Other Developments: £0 contributions.
Actual requirement to be agreed at application stage based upon needs and timing of delivery of new secondary schools.</t>
  </si>
  <si>
    <r>
      <rPr>
        <b/>
        <sz val="11"/>
        <rFont val="Gill Sans MT"/>
        <family val="2"/>
      </rPr>
      <t>YES</t>
    </r>
    <r>
      <rPr>
        <sz val="11"/>
        <rFont val="Gill Sans MT"/>
        <family val="2"/>
      </rPr>
      <t>: Contributions to be index linked from 1Q 2022 using Retail Price Index or as otherwise updated.</t>
    </r>
  </si>
  <si>
    <t>Contributions be sought where appropriate</t>
  </si>
  <si>
    <t>Contributions may be sought until East of Harlow new Secondary School has been provided</t>
  </si>
  <si>
    <t>Contributions to be required</t>
  </si>
  <si>
    <t>Contributions may be sought until Latton Priory new Secondary School has been provided</t>
  </si>
  <si>
    <t>Contributions may be required</t>
  </si>
  <si>
    <t>Further Education &amp; Skills</t>
  </si>
  <si>
    <t xml:space="preserve">HGGT Employment and Training Strategy, including:
- employment and training action plans required for all major developments setting out how employment and training opportunities will be provided to the local population during the construction and occupation phases of the development.
</t>
  </si>
  <si>
    <t>See IDP Evidence, Appendix 2 - Education Infrastructure, Responses from Harlow Council</t>
  </si>
  <si>
    <t>Employment and Training Strategy to be agreed at Application stage</t>
  </si>
  <si>
    <t xml:space="preserve">HGGT Employment and Training Strategy, including:
- employment and training strategy required for all major developments setting out how employment and training opportunities will be provided to the local population during the construction phase of the development.
</t>
  </si>
  <si>
    <t>Employment and Training Strategy to be required to be agreed and implemented during construction</t>
  </si>
  <si>
    <t>HE1</t>
  </si>
  <si>
    <t>Relocation or redevelopment of Princess Alexandra Hospital</t>
  </si>
  <si>
    <t>NHS England / NHS PAH Trust</t>
  </si>
  <si>
    <t>Department for Health and Social Care / NHS England / NHS Princess Alexandra Hospital Trust / NHS West Essex CCG / Private Financing</t>
  </si>
  <si>
    <t>NHS PAH Trust estimate - indicative figure only</t>
  </si>
  <si>
    <t>Contribution to acute care forms part of HE3.</t>
  </si>
  <si>
    <t>2025-2033</t>
  </si>
  <si>
    <t>Various options are being progressed by the joint working local authorities and the hospital through the Co-operation for Sustainable Development Board. There is potential for a new site to deliver a ‘health campus’ incorporating a range of medical services.
Costs likely to be met through a mixture of central government funding (currently estimated to be around £170m although not confirmed), debt funded and capital receipts - developer contributions will also be sought but the level and geographical extent is not currently known. Contribution to acute care forms part of HE3.</t>
  </si>
  <si>
    <t>Consultation with Princess Alexandra Hospital</t>
  </si>
  <si>
    <t>HE2</t>
  </si>
  <si>
    <t>EHA11; LPR7; WLA9</t>
  </si>
  <si>
    <t>New or extended dentists across the Garden Town</t>
  </si>
  <si>
    <t>NHS England / Operators / Developers</t>
  </si>
  <si>
    <t>NHS England / Operators / Developer Contributions (S106)</t>
  </si>
  <si>
    <t>Privately delivered</t>
  </si>
  <si>
    <t>This might involve co-location with other health provision e.g. GPs and pharmacies or provision by private organisations. Dentists commonly operate as private businesses and so the nature and location of new provision is market driven.</t>
  </si>
  <si>
    <t>Modelled output</t>
  </si>
  <si>
    <t>HE3</t>
  </si>
  <si>
    <t>Contribution to healthcare to serve new development, covering primary healthcare, mental healthcare, community healthcare and acute care</t>
  </si>
  <si>
    <t>NHS England / Developers</t>
  </si>
  <si>
    <t>Developer Contributions (S106)</t>
  </si>
  <si>
    <t>NHS Strategic Estates Planning Service</t>
  </si>
  <si>
    <t>To be considered further by CCGs</t>
  </si>
  <si>
    <t>Consultation with CCGs</t>
  </si>
  <si>
    <t>HE4</t>
  </si>
  <si>
    <t>HS_2</t>
  </si>
  <si>
    <t>Two new pharmacies within Harlow</t>
  </si>
  <si>
    <t>Private sector</t>
  </si>
  <si>
    <t>2018-2033</t>
  </si>
  <si>
    <t>Atkins estimate based on various sources including Essex County Council consultation</t>
  </si>
  <si>
    <t>HE5</t>
  </si>
  <si>
    <t>Around 147 extra care beds across the whole Garden Town</t>
  </si>
  <si>
    <t>ECC / NHS / Developers / Operators</t>
  </si>
  <si>
    <t>Adult social care services are mostly funded privately, although the counties may subsidise a number of bed spaces. It is not clear if contributions would be required from developers.</t>
  </si>
  <si>
    <t>This has been calculated through the benchmark of 25 extra care beds per 1,000 people 75+. 
Extra care housing: schemes/ properties are included where care (registered personal care is available on site 24/7.</t>
  </si>
  <si>
    <t>Harlow IDP, cross referenced with the Housing LIN website to update requirement</t>
  </si>
  <si>
    <t>HE6</t>
  </si>
  <si>
    <t>Around 264 nursing care beds across the whole Garden Town</t>
  </si>
  <si>
    <t>This has been calculated through the benchmark of 45 nursing care beds per 1,000 people 75+.
Nursing care: Where a care home is registered to provide nursing care, all beds are allocated to nursing care, although in practice not all residents may be in need of or receiving nursing care.</t>
  </si>
  <si>
    <t>HE7</t>
  </si>
  <si>
    <t xml:space="preserve">Around 382 residential care beds across the whole Garden Town </t>
  </si>
  <si>
    <t>This has been calculated through the benchmark of 65 residential care beds per 1,000 people 75+.
Residential care: Where a care home is registered to provide residential (personal) care only, all beds are allocated to residential care.</t>
  </si>
  <si>
    <t>Delivery Category</t>
  </si>
  <si>
    <t>Cost Notes</t>
  </si>
  <si>
    <t>Health Infrastructure / Services</t>
  </si>
  <si>
    <t>S3</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</si>
  <si>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health this should include:
- freeholds/leaseholds of new floorspace provided for new GP surgeries, dentists and pharmacies.</t>
    </r>
  </si>
  <si>
    <r>
      <t xml:space="preserve">HE1
</t>
    </r>
    <r>
      <rPr>
        <sz val="11"/>
        <rFont val="Gill Sans MT"/>
        <family val="2"/>
      </rPr>
      <t>(HE1 and part HE3)</t>
    </r>
  </si>
  <si>
    <t>Princess Alexandra Hospital Secondary Health Care Services including:
a) All Acute healthcare provisions, except for:
- Community and Mental Health and Well-Being Services (see HE3);
- Community Diagnostics (see HE4);
- Ambulance facilities (see Emergency Services infrastructure).</t>
  </si>
  <si>
    <t>See IDP Evidence, Appendix 3/4 - Healthcare Infrastructure, Response from HWE ICS</t>
  </si>
  <si>
    <t>new hospital</t>
  </si>
  <si>
    <t xml:space="preserve">Princess Alexandra Hospital (PAH) Trust/ Hertfordshire and West Essex Integrated Care System (HWE ICS) </t>
  </si>
  <si>
    <t>PAH Trust are considering 3 scenarios for future provision of secondary care, including:
- Provision of a new hospital at East of Harlow (preferred option);
- Refurb. / part development of existing hospital;
- Redevelopment of the existing hospital.
The new Hospital forms part of the PAHT 2030 vision.</t>
  </si>
  <si>
    <t>approx. 14 ha land at East of Harlow new garden community (preferred relocation option)</t>
  </si>
  <si>
    <t>PAH Trust modelling identifies impact from c.17,000 new homes requiring additional floorspace within the future Hospital with approximate value of between £27,459,760 to £32,412,214 (inclusive of inflation). Costs currently exclude A&amp;E provision which is not yet assessed.</t>
  </si>
  <si>
    <r>
      <rPr>
        <b/>
        <sz val="11"/>
        <rFont val="Gill Sans MT"/>
        <family val="2"/>
      </rPr>
      <t>YES</t>
    </r>
    <r>
      <rPr>
        <sz val="11"/>
        <rFont val="Gill Sans MT"/>
        <family val="2"/>
      </rPr>
      <t>: Costs to be index linked using BCIS PUBSEC Tender Price Index (or as otherwise updated):
from base date TBC.</t>
    </r>
  </si>
  <si>
    <t>Currently Unknown</t>
  </si>
  <si>
    <t>PAH Trust are preparing a Business Case for Central Government Funding. The amount of funding that might be available is not currently known.</t>
  </si>
  <si>
    <t>PAH Trust are preparing a Business Case for Central Government Funding. The total amount of funding that might be available is not currently known.</t>
  </si>
  <si>
    <t>No contributions will be sought from developers for acute healthcare.</t>
  </si>
  <si>
    <t>Delivery of redeveloped/new hospital expected by 2030</t>
  </si>
  <si>
    <r>
      <t xml:space="preserve">HE2
</t>
    </r>
    <r>
      <rPr>
        <sz val="11"/>
        <rFont val="Gill Sans MT"/>
        <family val="2"/>
      </rPr>
      <t>(part HE3)</t>
    </r>
  </si>
  <si>
    <t>GP Surgeries: Primary Health Care Services including:
a) new GP surgeries (no. to be confirmed) totalling approx. 2,099 Sq M NIA to be provided across more than one new GP surgery (exact number and locations to be confirmed).</t>
  </si>
  <si>
    <t>Hertfordshire and West Essex Integrated Care System (HWE ICS) including East and North Hertfordshire CCG and West Essex CCG / Developer(s)</t>
  </si>
  <si>
    <t>GP Surgery floorspace required within each new Garden Community (unless otherwise advised) to be agreed at Masterplan and Application stage. Direct provision of floorspace by developers in lieu of contributions is preferred. Contributions may still be required where needs are not met wholly on-site.</t>
  </si>
  <si>
    <t>HWE ICS estimated cost of £5,410 per m2 with total requirement of c.2,099Sqm (NIA):
£11,355,590 (base date TBC)</t>
  </si>
  <si>
    <t>Direct Delivery of Floorspace by Developer(s) preferred</t>
  </si>
  <si>
    <t>HWE ICS HUDU modelling identify an impact from developments requiring approximately 2,099 Sq NIA additional floorspace for primary healthcare taking account of existing capacity in the Garden Town area based upon c.17,000 new homes (equivalent to new garden communities and existing PAH site only).</t>
  </si>
  <si>
    <r>
      <rPr>
        <b/>
        <sz val="11"/>
        <rFont val="Gill Sans MT"/>
        <family val="2"/>
      </rPr>
      <t>YES</t>
    </r>
    <r>
      <rPr>
        <sz val="11"/>
        <rFont val="Gill Sans MT"/>
        <family val="2"/>
      </rPr>
      <t>: Contributions to be index linked using BCIS PUBSEC Tender Price Index (or as otherwise updated):
from base date TBC.</t>
    </r>
  </si>
  <si>
    <t xml:space="preserve">Need for additional GP floorspace to serve Town Centre area currently Unknown </t>
  </si>
  <si>
    <t>Direct delivery of floorspace OR (subject to agreement) contribution in lieu:</t>
  </si>
  <si>
    <t xml:space="preserve">Contributions may be necessary subject to identification by HWE ICS. </t>
  </si>
  <si>
    <t xml:space="preserve">New GP floorspace in Town Centre and / or Contributions may be necessary subject to identification by HWE ICS. </t>
  </si>
  <si>
    <t>Phasing of new GP surgeries currently unknown but required in parallel with new developments to meet residents needs</t>
  </si>
  <si>
    <r>
      <t xml:space="preserve">HE3
</t>
    </r>
    <r>
      <rPr>
        <sz val="11"/>
        <rFont val="Gill Sans MT"/>
        <family val="2"/>
      </rPr>
      <t>(part HE3)</t>
    </r>
  </si>
  <si>
    <t>Community and Mental Health and Well-Being Services including:
a) new Mental Health floorspace of 1,125 Sq M NIA;
b) new Community Health floorspace of 1,375 Sq M NIA.</t>
  </si>
  <si>
    <t>Hertfordshire and West Essex Integrated Care System (HWE ICS) including East and North Hertfordshire CCG and West Essex CCG.</t>
  </si>
  <si>
    <t>Community and Mental Health and Wellbeing floorspace required within the Garden Town (location to be confirmed) . Direct provision of floorspace by developers in lieu of contributions may be considered subject to consideration.</t>
  </si>
  <si>
    <t>On-site provision to be considered as part of new local health hubs</t>
  </si>
  <si>
    <t>HWE ICS estimated cost of £1,810 per Sq M for Mental Health and £1,900 per Sq M for Community Health floorspace.
Phasing of provision required to support need over time.</t>
  </si>
  <si>
    <t>HWE ICS HUDU modelling identify an impact from development requiring additional floorspace of approximately 1,125 Sq M NIA for Mental Health and 1,375 Sq M NIA for Community Health at an estimated cost of £11,355,590. Modelling based upon 17,000 new homes (equivalent to new garden communities and existing PAH site only).</t>
  </si>
  <si>
    <t>Phasing of new Community and Mental Health and Wellbeing services currently unknown but required to support residents needs</t>
  </si>
  <si>
    <r>
      <t xml:space="preserve">HE4
</t>
    </r>
    <r>
      <rPr>
        <sz val="11"/>
        <rFont val="Gill Sans MT"/>
        <family val="2"/>
      </rPr>
      <t>(new)</t>
    </r>
  </si>
  <si>
    <t>Community Diagnostics Hub(s) including:
a) new facilities for bringing diagnostic services into communities.</t>
  </si>
  <si>
    <t>Suitable floorspace required to be provided in location(s) to be determined in order to provide diagnostic services for the population of the Garden Town area.</t>
  </si>
  <si>
    <t>Costs currently unknown</t>
  </si>
  <si>
    <t>Floorspace and/or Contributions to be considered at Masterplan/ Application stage</t>
  </si>
  <si>
    <t>Provision of suitable floorspace and/or contributions expected from major developments, to be identified at masterplan/application stage.</t>
  </si>
  <si>
    <r>
      <t xml:space="preserve">HE4
</t>
    </r>
    <r>
      <rPr>
        <sz val="11"/>
        <rFont val="Gill Sans MT"/>
        <family val="2"/>
      </rPr>
      <t>(HE2)</t>
    </r>
  </si>
  <si>
    <t>Phasing of new Community Diagnostic Hub(s) currently unknown</t>
  </si>
  <si>
    <r>
      <t xml:space="preserve">HE5
</t>
    </r>
    <r>
      <rPr>
        <sz val="11"/>
        <rFont val="Gill Sans MT"/>
        <family val="2"/>
      </rPr>
      <t>(HE2)</t>
    </r>
  </si>
  <si>
    <t>New or extended Dentists Surgery services across the Garden Town.</t>
  </si>
  <si>
    <t>Private Operators and NHS England / Developer(s)</t>
  </si>
  <si>
    <t>Suitable floorspace required to be provided in new neighbourhood/village centres to be identified at Masterplanning and Application stage.</t>
  </si>
  <si>
    <t>Suitable Floorspace to be provided subject to agreement at Masterplan and Application stage</t>
  </si>
  <si>
    <t>Phasing of new Dentist services currently unknown</t>
  </si>
  <si>
    <r>
      <t xml:space="preserve">HE6
</t>
    </r>
    <r>
      <rPr>
        <sz val="11"/>
        <rFont val="Gill Sans MT"/>
        <family val="2"/>
      </rPr>
      <t>(HE4)</t>
    </r>
  </si>
  <si>
    <t>New or extended Pharmacy services across the Garden Town.</t>
  </si>
  <si>
    <t>Private Operators / Developer(s)</t>
  </si>
  <si>
    <t>Phasing of new Pharmacy services currently unknown</t>
  </si>
  <si>
    <r>
      <t xml:space="preserve">HE7
</t>
    </r>
    <r>
      <rPr>
        <sz val="11"/>
        <rFont val="Gill Sans MT"/>
        <family val="2"/>
      </rPr>
      <t>(HE5, HE6, HE7)</t>
    </r>
  </si>
  <si>
    <t>Adult Care Services including:
- 234 new units of Extra Care accommodation;
- Nursing Beds;
- Residential Care Beds.</t>
  </si>
  <si>
    <t>See IDP Evidence, Appendix 3 - Healthcare Infrastructure, Response from Hertfordshire and Essex County Councils</t>
  </si>
  <si>
    <t>60 extra care units</t>
  </si>
  <si>
    <t>ECC / HCC / Private Operator(s) / Developer(s)</t>
  </si>
  <si>
    <t>Extra Care accommodation to be provided within large developments as part of a balanced housing mix to be agreed at Masterplan and Application stage. Direct provision by developers is preferred unless otherwise agreed. Through the HDC Local Plan ECC have indicated the intention to facilitate at least one 60 unit Extra Care scheme by 2025.</t>
  </si>
  <si>
    <t>130 Extra Care units at Gilston Area</t>
  </si>
  <si>
    <t>HCC have identified the requirement for 130 Extra Care units to be delivered within the Gilston Area new garden community, including 40% affordable. Extra Care accommodation on other sites to be agreed.</t>
  </si>
  <si>
    <t>Extra Care units may be required subject to agreement at Masterplan and Application stage</t>
  </si>
  <si>
    <t>110 Extra Care units incl. 40% affordable</t>
  </si>
  <si>
    <t>20 Extra Care units incl. 40% affordable</t>
  </si>
  <si>
    <t>ECC have indicated the intention to facilitate at least one 60 unit Extra Care scheme by 2025. Phasing of other Extra Care accommodation currently unknown</t>
  </si>
  <si>
    <t>Cost to be Apportioned to EHDC, EFDC &amp; HDC Development Plan Allocations</t>
  </si>
  <si>
    <t>Cost to be Apportioned to Windfall / developments outside HGGT</t>
  </si>
  <si>
    <t>Z</t>
  </si>
  <si>
    <t>AY</t>
  </si>
  <si>
    <t>AZ</t>
  </si>
  <si>
    <t>BA</t>
  </si>
  <si>
    <t>BB</t>
  </si>
  <si>
    <t>ES1</t>
  </si>
  <si>
    <t>Emergency services hub (approx. 0.7ha site), including Police, Fire and Rescue and Ambulance Services</t>
  </si>
  <si>
    <t>Essex Police / Hertfordshire Constabulary / East of England Ambulance Service NHS Trust / Essex County Fire and Rescue Service / Hertfordshire Fire and Rescue Service</t>
  </si>
  <si>
    <t>Essex Police / Hertfordshire Constabulary / East of England Ambulance Service NHS Trust / Essex County Fire and Rescue Service / Hertfordshire Fire and Rescue Service / Developers</t>
  </si>
  <si>
    <t>Hertfordshire Constabulary / Hertfordshire Fire and Rescue Service</t>
  </si>
  <si>
    <t>Assumed that 50% of costs to be met through other sources</t>
  </si>
  <si>
    <t>As part of developing/reviewing the accommodation requirements of the respective organisations, there is an aspiration to reduce the combined site/accommodation requirements through efficiencies that would be gained by working collaboratively, e.g. through shared messing, locker rooms, toilet facilities etc. 
Note, the location of the new facility is not yet known and so land costs are not included in the cost estimate.</t>
  </si>
  <si>
    <t>Consultation with Essex Police, Hertfordshire Police and Hertfordshire Fire and Rescue</t>
  </si>
  <si>
    <t>ES2</t>
  </si>
  <si>
    <t>Joint police custody facility (approx. 1.2ha site) to service Garden Town and development and adjoining area</t>
  </si>
  <si>
    <t>Essex Police / Hertfordshire Constabulary</t>
  </si>
  <si>
    <t>Essex Police / Hertfordshire Constabulary / Developers</t>
  </si>
  <si>
    <t>Hertfordshire Constabulary</t>
  </si>
  <si>
    <t>Due to the nature of custody this facility does not need to be co-located with the police station and therefore is probably better suited to an industrial estate location, assuming that there are good transport links/access roads. 
Note, the location of the new facility is not yet known and so land costs are not included in the cost estimate.</t>
  </si>
  <si>
    <t xml:space="preserve">Consultation with Essex Police  and Hertfordshire Police </t>
  </si>
  <si>
    <t>Contributions Indexation / Change</t>
  </si>
  <si>
    <t>Emergency Services Infrastructure / Services</t>
  </si>
  <si>
    <t>.</t>
  </si>
  <si>
    <t>Hertfordshire Emergency Services Hub comprising:
a) 0.6ha site within the Gilston Area new garden community for Hertfordshire Constabulary and HCC Fire and Rescue services.</t>
  </si>
  <si>
    <t>See IDP Evidence, Appendix 4 - Emergency Services Infrastructure, Response from Hertfordshire Constabulary and Herts Fire &amp; Rescue Services</t>
  </si>
  <si>
    <t>Hertfordshire Constabulary, HCC Fire and Rescue Services / Developer(s)</t>
  </si>
  <si>
    <t>HCC Fire &amp; Rescue Service Integrated Risk Management Plan has identified a need for a new facility to serve the new population. Potential is considered for it to act as a combined facility with Herts Police. A location within either Village 1, 2 or 7 is considered appropriate to ensure appropriate access within the development and to key highway infrastructure.</t>
  </si>
  <si>
    <t>0.6ha site within Gilston Area in Village 1, 2 or 7</t>
  </si>
  <si>
    <t>Estimated costs for new facility provided by HCC Fire &amp; Rescue Service and Herts Police in 2019. HCC Fire &amp; Rescue Services and Herts Police recognise that overall costs and apportioned costs may need to be further reviewed in light of change to scope of infrastructure and depending on the location to be agreed for the Emergency Services Hub.</t>
  </si>
  <si>
    <r>
      <rPr>
        <b/>
        <sz val="11"/>
        <rFont val="Gill Sans MT"/>
        <family val="2"/>
      </rPr>
      <t>YES</t>
    </r>
    <r>
      <rPr>
        <sz val="11"/>
        <rFont val="Gill Sans MT"/>
        <family val="2"/>
      </rPr>
      <t>: Costs to be index linked using Index to be advised (or as otherwise updated):
a) from Q2 2019.</t>
    </r>
  </si>
  <si>
    <t>HCC Fire &amp; Rescue Services and Herts Police anticipate obtaining partial funding through Capital Funds / Grants, amount to be determined.</t>
  </si>
  <si>
    <t>0.6ha site within Gilston Area</t>
  </si>
  <si>
    <t>HCC Fire &amp; Rescue Services and Herts Police maintain HGGT IDP 2019 contributions from Hertfordshire sites (despite £365.32 per dwelling, set out in the HCC Guide to Developer Contributions) in recognition that costs may need to be further reviewed in light of change to scope of infrastructure and depending on the location to be agreed for the Emergency Services Hub.</t>
  </si>
  <si>
    <r>
      <rPr>
        <b/>
        <sz val="11"/>
        <rFont val="Gill Sans MT"/>
        <family val="2"/>
      </rPr>
      <t>YES</t>
    </r>
    <r>
      <rPr>
        <sz val="11"/>
        <rFont val="Gill Sans MT"/>
        <family val="2"/>
      </rPr>
      <t>: Contributions to be index linked using Index to be advised (or as otherwise updated):
a) from Q2 2019.</t>
    </r>
  </si>
  <si>
    <t xml:space="preserve">Additional Contributions from developments in Hertfordshire may be anticipated. </t>
  </si>
  <si>
    <t>The Hertfordshire Emergency Services Hub in the Gilston Area new garden community may also serve a wider area of Hertfordshire.</t>
  </si>
  <si>
    <t>Hertfordshire Constabulary and HCC Fire and Rescue Services anticipate obtaining partial funding through Capital Funds / Grants</t>
  </si>
  <si>
    <t>0.6ha site to be provided within Village 1 or 2 or 7 subject to agreement at Masterplan and Application stage</t>
  </si>
  <si>
    <t xml:space="preserve">Additional Contributions from developments in Hertfordshire may be necessary subject to identification. </t>
  </si>
  <si>
    <t>Phasing of new Emergency Services Hub in the Gilston Area currently unknown</t>
  </si>
  <si>
    <r>
      <t xml:space="preserve">ES2
</t>
    </r>
    <r>
      <rPr>
        <sz val="11"/>
        <rFont val="Gill Sans MT"/>
        <family val="2"/>
      </rPr>
      <t>(new)</t>
    </r>
  </si>
  <si>
    <t>East of England Ambulance Service Hub comprising:
- 1ha of land/10,000m2 for relocation and expansion of existing facility alongside/in close proximity (within 1/4 mile) of PAH hospital.</t>
  </si>
  <si>
    <t>East of England Ambulance Service NHS Trust and PAH Trust</t>
  </si>
  <si>
    <t>HWE ICS have indicated delivery is expected between 2025 and 2033 alongside the relocation (preferred option) or redevelopment of the PAH hospital.</t>
  </si>
  <si>
    <t>1ha land at East of Harlow new garden community adjacent to new Hospital &amp; Health Campus (preferred relocation option)</t>
  </si>
  <si>
    <t>HWE ICS/East of England ambulance Service identify approximate cost as £7,900,00 (January 1Q 2022).</t>
  </si>
  <si>
    <r>
      <rPr>
        <b/>
        <sz val="11"/>
        <rFont val="Gill Sans MT"/>
        <family val="2"/>
      </rPr>
      <t>YES</t>
    </r>
    <r>
      <rPr>
        <sz val="11"/>
        <rFont val="Gill Sans MT"/>
        <family val="2"/>
      </rPr>
      <t>: Costs to be index linked using Index to be advised (or as otherwise updated):
a) from 1Q 2022.</t>
    </r>
  </si>
  <si>
    <t>HWE ICS anticipate potential funding from Department for Health and Social Care / NHS England Capital Resource Limit subject to approval</t>
  </si>
  <si>
    <t>1ha site within East of Harlow new garden community alongside new PAH hospital; Contributions to be considered at application stage</t>
  </si>
  <si>
    <t>A new Ambulance Hub is anticipated to be required to meet the needs of the Garden Town area. Preference is to relocate alongside the proposed new Hospital.</t>
  </si>
  <si>
    <r>
      <rPr>
        <b/>
        <sz val="11"/>
        <rFont val="Gill Sans MT"/>
        <family val="2"/>
      </rPr>
      <t>YES</t>
    </r>
    <r>
      <rPr>
        <sz val="11"/>
        <rFont val="Gill Sans MT"/>
        <family val="2"/>
      </rPr>
      <t>: Contributions to be index linked using Index to be advised (or as otherwise updated):
a) from Q3 2021.</t>
    </r>
  </si>
  <si>
    <t xml:space="preserve">Contributions to be considered at application stage. </t>
  </si>
  <si>
    <t>PAH hospital provides Secondary Healthcare for a wide area. Other developments both within and outside of the Garden Town may be required to contribute funding in order to ensure the Ambulance Hub is sufficient to meet any additional pressures from development.</t>
  </si>
  <si>
    <t>East of England Ambulance Service Hub comprising:
- 1ha of land/10,000m2 for relocation and expansion of existing facility alongside future PAH hospital.</t>
  </si>
  <si>
    <t xml:space="preserve">Provisions/ Contributions may be necessary subject to identification by HWE ICS. </t>
  </si>
  <si>
    <t>Delivery anticipated between 2025-2033 alongside delivery of new PAH hospital</t>
  </si>
  <si>
    <r>
      <t xml:space="preserve">ES3
</t>
    </r>
    <r>
      <rPr>
        <sz val="11"/>
        <rFont val="Gill Sans MT"/>
        <family val="2"/>
      </rPr>
      <t>(new)</t>
    </r>
  </si>
  <si>
    <t xml:space="preserve">East of England Ambulance Station Reporting and Response Posts providing a network of local facilities within the community to maintain category response times, comprising a mix (to be determined) of:
a) Standby post 20m2 (GIA);
b) Response post small 477m2 (GIA);
c) Reporting post medium 1,328m2 (GIA);
d) Reporting post large 2,802m2 (GIA). </t>
  </si>
  <si>
    <t>East of England Ambulance Service NHS Trust / Developer(s)</t>
  </si>
  <si>
    <t>Provisions to be identified and agreed.</t>
  </si>
  <si>
    <t>location(s) and size(s) to be confirmed</t>
  </si>
  <si>
    <t>Ambulance Station Indicative size and costs provided by HWE ICS:
a) Standby post: 20m2 (GIA) c.£56,380;
b) Response post small: 477m2 (GIA) c.£1,344,663;
c) Reporting post medium: 1,328m2 (GIA) c.£3,743,632;
d) Reporting post large: 2,802m2  £7,898,838.</t>
  </si>
  <si>
    <t>unknown</t>
  </si>
  <si>
    <t>Provision of new Standby, Response or Reporting post(s) to be considered at masterplan/application stage</t>
  </si>
  <si>
    <t>Provision to be assessed at application stage for major strategic applications which affect the location and scale of the local population.</t>
  </si>
  <si>
    <t>PAH hospital provides Secondary Healthcare for a wide area. Other developments both within and outside of the Garden Town may be required to contribute funding in order to ensure the Ambulance Reporting and Response Post is sufficient to meet any additional pressures from development.</t>
  </si>
  <si>
    <t>Exact mix and phasing of new Ambulance Reporting and Response Posts currently unknown</t>
  </si>
  <si>
    <t>CF1</t>
  </si>
  <si>
    <t>Approx. 1,675sqm of new / additional / improved (multi-purpose) community space (&amp; facilities) to meet the needs of new residents in East Harlow (both portions), including provision for community halls, youth facilities, other public / community service space</t>
  </si>
  <si>
    <t>EFDC / HDC / ECC / Developers</t>
  </si>
  <si>
    <t>Developer contributions (S106) / Grant funding</t>
  </si>
  <si>
    <t>Tests 100% of costs met through developer contributions - there may also be opportunities for other sources of funding</t>
  </si>
  <si>
    <t xml:space="preserve">Modelled community facility space (combined flexible youth services and community hall requirement), required to support the demand created from the strategic site. Site(s) location not yet identified - to be identified as part of single, combined masterplanning. Newly arising need only, on both portions of the site, with provision approached in a single, consistent way. Land will also be required; overall costs (including land) to be shared equitably and proportionally across relevant sites.
</t>
  </si>
  <si>
    <t>Essex County Council - calculated requirement 2019</t>
  </si>
  <si>
    <t>CF2</t>
  </si>
  <si>
    <t>Approx. 500sqm of new / additional / improved (multi-purpose) community space (&amp; facilities) to meet the needs of new residents in Latton Priory, including provision for community halls, youth facilities, other public / community service space</t>
  </si>
  <si>
    <t>EFDC / ECC / Developers</t>
  </si>
  <si>
    <t>Modelled community facility space (combined flexible youth services and community hall requirement), required to support the demand created from the strategic site. Site(s) location not yet identified - to be identified as part of masterplanning. Land will also be required; overall costs (including land) to be shared equitably and proportionally across relevant sites.</t>
  </si>
  <si>
    <t>CF3</t>
  </si>
  <si>
    <t>Approx. 1,000sqm of new / additional / improved (multi-purpose) community space (&amp; facilities) to meet the needs of new residents in Water Lane area, including provision for community halls, youth facilities, other public / community service space</t>
  </si>
  <si>
    <t>CF4</t>
  </si>
  <si>
    <t>CF_3</t>
  </si>
  <si>
    <t>Approx. 230sqm of additional community space in Harlow (excluding East Harlow)</t>
  </si>
  <si>
    <t>HDC / ECC / Developers</t>
  </si>
  <si>
    <t>Harlow IDP (2018) reports total requirement - for the purposes of the Garden Town IDP this total requirement has been broken down proportionately by number of units.</t>
  </si>
  <si>
    <t>Essex County Council Developer Guide</t>
  </si>
  <si>
    <t>CF5</t>
  </si>
  <si>
    <t>CF_2</t>
  </si>
  <si>
    <t>One youth facility</t>
  </si>
  <si>
    <t>Reviewed by Arup - costs based on 350sqm assumption</t>
  </si>
  <si>
    <t>CF6</t>
  </si>
  <si>
    <t>Approx. 3,120sqm of community space to serve Gilston</t>
  </si>
  <si>
    <t>EHDC / HCC / Developers</t>
  </si>
  <si>
    <t>CF7</t>
  </si>
  <si>
    <t>Youth provision at Gilston, associated with community space</t>
  </si>
  <si>
    <t>Tests 100% of costs met through developer contributions</t>
  </si>
  <si>
    <t>Hertfordshire County Council costs indexed using PUBSEC 175  indices provided by the County.</t>
  </si>
  <si>
    <t>Consultation with Hertfordshire County Council</t>
  </si>
  <si>
    <t>CF8</t>
  </si>
  <si>
    <t>Increased / improved capacity and library provision to serve Gilston area, provided within Harlow (by ECC), with a reserve position of increased capacity and provision in Hertfordshire</t>
  </si>
  <si>
    <t>EHDC / HCC / HDC / ECC / Developers</t>
  </si>
  <si>
    <t>Hertfordshire County Council and Essex County Council (revised 2018 costs - see notes)</t>
  </si>
  <si>
    <t>Essex County Council and Hertfordshire County Council preference (in principle) is for library provision to serve the Gilston area by increasing capacity / provision at existing library service provided within Harlow Library / libraries. Hertfordshire County Council costs indexed using PUBSEC indexes provided by the County. Figures allow for possibility that combined provision not delivered within Harlow and instead by HCC within Herts. Allowance may be necessary for external building / space related town centre improvements. Specific proposals will be developed.</t>
  </si>
  <si>
    <t>Consultation with Hertfordshire County Council and Essex County Council</t>
  </si>
  <si>
    <t xml:space="preserve">Contribution </t>
  </si>
  <si>
    <t>CF9</t>
  </si>
  <si>
    <t>Increased / improved capacity and library provision to serve Garden Town growth within Harlow and Epping Forest districts, provided within Harlow (by ECC)</t>
  </si>
  <si>
    <t>Essex County Council overall library  service currently under review and public consultation. Details of likely form of future provision (for Harlow area) will need to be defined further in mid 2019 but for present time it is anticipated that reconfigured / upgraded provision / capacity at existing library service within Harlow Library area service will be required.  Allowance may be necessary for external building / space related town centre improvements may be necessary for external building / space related town centre improvements.</t>
  </si>
  <si>
    <t>Consultation with Essex County Council</t>
  </si>
  <si>
    <t>CF10</t>
  </si>
  <si>
    <t>Contribution towards on site or off site public art</t>
  </si>
  <si>
    <t>HDC / EFDC / EHDC / Developers</t>
  </si>
  <si>
    <t>Harlow and Gilston Garden Town</t>
  </si>
  <si>
    <t>CF11</t>
  </si>
  <si>
    <t>Upgrades to sculpture trail leading to Harlow Town Station</t>
  </si>
  <si>
    <t>HDC</t>
  </si>
  <si>
    <t>CF12</t>
  </si>
  <si>
    <t>Playhouse Square development</t>
  </si>
  <si>
    <t>Proposal to develop Playhouse Square as an arts destination,  increasing pedestrian traffic from the Water Gardens and into the Harvey Centre, moving some of the Museum collection to be on show in this destination, providing a creative hub, and increasing signage to the Gibbered Gallery.</t>
  </si>
  <si>
    <t>CF13</t>
  </si>
  <si>
    <t>Revenue costs for community facilities and services</t>
  </si>
  <si>
    <t>CF14</t>
  </si>
  <si>
    <t>Delivery of Town Centre AAP, including town centre management</t>
  </si>
  <si>
    <t>Harlow District Council are producing an Area Action Plan to cover Harlow Town Centre, which will include improvement projects. It is likely that developer contributions towards transport and public realm improvement will be sought - however, the level of contributions required is not yet known.
Topics likely to include: movement and connectivity; infrastructure and digital connectivity; high quality public realm; enhancing cultural and community offer; town centre management; and parking schemes.</t>
  </si>
  <si>
    <t>Consultation with Harlow District Council</t>
  </si>
  <si>
    <t>Estimated residual Funding Gap after estimated contributions from Windfall and developments outside HGGT</t>
  </si>
  <si>
    <t>Community Facilities Infrastructure / Services</t>
  </si>
  <si>
    <t>S4</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</si>
  <si>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community facilities this should include:
- freeholds of new floorspace provided for new community halls, youth facilities;</t>
    </r>
    <r>
      <rPr>
        <b/>
        <sz val="11"/>
        <rFont val="Gill Sans MT"/>
        <family val="2"/>
      </rPr>
      <t xml:space="preserve">
</t>
    </r>
    <r>
      <rPr>
        <sz val="11"/>
        <rFont val="Gill Sans MT"/>
        <family val="2"/>
      </rPr>
      <t>- public open spaces or facilities containing public art.</t>
    </r>
  </si>
  <si>
    <t>Community Halls and Facilities</t>
  </si>
  <si>
    <r>
      <t xml:space="preserve">CF1
</t>
    </r>
    <r>
      <rPr>
        <sz val="11"/>
        <rFont val="Gill Sans MT"/>
        <family val="2"/>
      </rPr>
      <t>(CF1-CF4 &amp; CF6)</t>
    </r>
  </si>
  <si>
    <t>Community Halls and multi-purpose spaces, including:
a) c.3,120sqm at the Gilston Area;
b) c.1,675sqm at East of Harlow;
c) c.1,000sqm at Water Lane;
d) c.500sqm at Latton Priory;
e) temporary community spaces to support first residents whilst community halls are built;
f) transfer of new community assets into community / public stewardship bodies and long term revenue generation arrangements;
g) contributions to enhance existing community facilities, subject to assessment.</t>
  </si>
  <si>
    <t>See IDP Evidence, Appendix 5 - Community Facilities Infrastructure</t>
  </si>
  <si>
    <t>New and enhanced Community facilities required to support the demand from new residents.</t>
  </si>
  <si>
    <t>On-site provision of new Community Halls and spaces and transfer of assets into stewardship</t>
  </si>
  <si>
    <t>On-site provision to be provided where new neighbourhoods and villages are created as part of local centres/new hatches with arrangements for the long term community / public stewardship of all community assets together with arrangements for long term revenue generation.
Contributions to enhance existing facilities may be required from smaller developments.</t>
  </si>
  <si>
    <r>
      <rPr>
        <b/>
        <sz val="11"/>
        <rFont val="Gill Sans MT"/>
        <family val="2"/>
      </rPr>
      <t>YES</t>
    </r>
    <r>
      <rPr>
        <sz val="11"/>
        <rFont val="Gill Sans MT"/>
        <family val="2"/>
      </rPr>
      <t>: Costs to be index linked using RICS BCIS Tender Price Index or as otherwise updated:
All costs from Q2 2019;</t>
    </r>
  </si>
  <si>
    <t>Provisions to be agreed at Masterplan / Application stage.</t>
  </si>
  <si>
    <t>New on-site provision and / or contribution to enhance existing local facility to be agreed at Application stage</t>
  </si>
  <si>
    <t>(a) new Community facilities; and (e) temporary facilities; and (f) Transfer of assets into stewardship. Direct delivery in lieu:</t>
  </si>
  <si>
    <t>(b) new Community facilities; and (e) temporary facilities; and (f) Transfer of assets into stewardship. Direct delivery in lieu:</t>
  </si>
  <si>
    <t>(c) new Community facilities; and (e) temporary facilities; and (f) Transfer of assets into stewardship. Direct delivery in lieu:</t>
  </si>
  <si>
    <t>(d) new Community facilities; and (e) temporary facilities; and (f) Transfer of assets into stewardship</t>
  </si>
  <si>
    <t>Delivery phasing to meet needs of new residents</t>
  </si>
  <si>
    <r>
      <t xml:space="preserve">CF2
</t>
    </r>
    <r>
      <rPr>
        <sz val="11"/>
        <rFont val="Gill Sans MT"/>
        <family val="2"/>
      </rPr>
      <t>(CF5 &amp; CF7)</t>
    </r>
  </si>
  <si>
    <t>Youth facilities (where in addition to Community Halls and other facilities), including:
a) 460m2 dedicated external space, 520m2 dedicated internal space and a Multi Use Games Area at the Gilston Area;
b) dedicated youth facility at East of Harlow;
c) transfer of new youth facilities into community / public stewardship bodies and long term revenue generation arrangements;
d) contributions to enhance existing youth facilities, subject to assessment.</t>
  </si>
  <si>
    <t>New and enhanced Youth facilities required to support the demand from new residents.</t>
  </si>
  <si>
    <t>On-site provision of new Youth facilities and spaces and transfer of assets into Stewardship</t>
  </si>
  <si>
    <t>On-site provision to be provided where new neighbourhoods and villages are created with arrangements for the long term community / public stewardship of all assets together with arrangements for long term revenue generation.
Contributions to enhance existing facilities may be required from smaller developments.</t>
  </si>
  <si>
    <r>
      <rPr>
        <b/>
        <sz val="11"/>
        <rFont val="Gill Sans MT"/>
        <family val="2"/>
      </rPr>
      <t>YES</t>
    </r>
    <r>
      <rPr>
        <sz val="11"/>
        <rFont val="Gill Sans MT"/>
        <family val="2"/>
      </rPr>
      <t>: Costs to be index linked using RICS BCIS Tender Price Index or as otherwise updated:
a) from Q1 2020;
b) from Q2 2019;</t>
    </r>
  </si>
  <si>
    <t>(a) new Youth facilities and spaces; and (c) Transfer of assets into stewardship. Direct delivery in lieu:</t>
  </si>
  <si>
    <t>(b) new Youth facilities and spaces; and (c) Transfer of assets into stewardship. Direct delivery in lieu:</t>
  </si>
  <si>
    <t>Libraries, Cultural Facilities &amp; Public Art</t>
  </si>
  <si>
    <r>
      <t xml:space="preserve">CF3
</t>
    </r>
    <r>
      <rPr>
        <sz val="11"/>
        <rFont val="Gill Sans MT"/>
        <family val="2"/>
      </rPr>
      <t>(CF8 &amp; CF9)</t>
    </r>
  </si>
  <si>
    <t>See IDP Evidence, Appendix 5 - Community Facilities Infrastructure, Responses from Hertfordshire and Essex County Councils</t>
  </si>
  <si>
    <t>(a) library enhancement underway</t>
  </si>
  <si>
    <t>Essex County Council (ECC) / Hertfordshire County Council (HCC)</t>
  </si>
  <si>
    <t>ECC have identified 2 phases of works: (a) Phase 1 refurbishment of Harlow Town Centre Library and co-location of the Adult Community Learning services to meet existing needs; (b) Phase 2 expansion or relocation within the Town Centre to deliver a broader offer to meet the future population needs. HCC contribution to support delivery of Phase 2 unless otherwise agreed for works within Hertfordshire.</t>
  </si>
  <si>
    <t>Harlow Town Centre Library</t>
  </si>
  <si>
    <r>
      <rPr>
        <b/>
        <sz val="11"/>
        <rFont val="Gill Sans MT"/>
        <family val="2"/>
      </rPr>
      <t>YES</t>
    </r>
    <r>
      <rPr>
        <sz val="11"/>
        <rFont val="Gill Sans MT"/>
        <family val="2"/>
      </rPr>
      <t>: Costs to be index linked from Q2 2022 using RICS BCIS Tender Price Index or as otherwise updated.</t>
    </r>
  </si>
  <si>
    <t>ECC have secured £2,015,000 including £977,000 awarded from the South East Local Enterprise Partnership to complete (a) refurbishment of the existing Harlow Town Centre Library.</t>
  </si>
  <si>
    <t xml:space="preserve">ECC to undertake further feasibility and design works for (b) Phase 2. </t>
  </si>
  <si>
    <t>Works to (a) refurbish the existing Harlow Town library are currently underway to be completed in Spring 2022. Delivery of (b) Phase 2 currently unknown.</t>
  </si>
  <si>
    <r>
      <t xml:space="preserve">CF4
</t>
    </r>
    <r>
      <rPr>
        <sz val="11"/>
        <rFont val="Gill Sans MT"/>
        <family val="2"/>
      </rPr>
      <t>(CF8 &amp; CF9)</t>
    </r>
  </si>
  <si>
    <t>Harlow Town Centre Cultural provision, including:
a) The Playhouse Theatre: expansion and refurbishment of main auditorium.</t>
  </si>
  <si>
    <t>See IDP Evidence, Appendix 5 - Community Facilities Infrastructure, Responses from Harlow Council</t>
  </si>
  <si>
    <t>Harlow Council (HDC)</t>
  </si>
  <si>
    <t>HDC have identified the potential costs of projects as:
a) estimated at £30,000,000.</t>
  </si>
  <si>
    <t>HDC may seek contributions from developments.</t>
  </si>
  <si>
    <t>Delivery phasing currently unknown</t>
  </si>
  <si>
    <r>
      <t xml:space="preserve">CF5
</t>
    </r>
    <r>
      <rPr>
        <sz val="11"/>
        <rFont val="Gill Sans MT"/>
        <family val="2"/>
      </rPr>
      <t>(new)</t>
    </r>
  </si>
  <si>
    <t>Harlow Museum, including:
- Museum courtyard works to extend exhibition space and public engagement area to support temporary and permanent exhibitions.</t>
  </si>
  <si>
    <t>HDC have requested a contribution of approximately £1,000,000 from larger developments in the Essex Garden Town area to cover works associated with ensuring sufficient exhibition and archive space is maintained for archaeological finds at development sites.</t>
  </si>
  <si>
    <t xml:space="preserve">Contribution may be sought at Application stage </t>
  </si>
  <si>
    <r>
      <t xml:space="preserve">CF6
</t>
    </r>
    <r>
      <rPr>
        <sz val="11"/>
        <rFont val="Gill Sans MT"/>
        <family val="2"/>
      </rPr>
      <t>(CF10 &amp; CF11)</t>
    </r>
  </si>
  <si>
    <t>Harlow Council (HDC) / Harlow Art Trust and other Arts and Education bodies / Developer(s)</t>
  </si>
  <si>
    <t>In 2010 Harlow became the worlds first designated Sculpture Town with over 100 outdoor public sculptures.</t>
  </si>
  <si>
    <t>On-site public art and / or Contributions to Harlow Sculpture Trail / Harlow Arts Trust Artist in Residence</t>
  </si>
  <si>
    <t>Cost to be Apportioned to Windfall and developments outside HGGT</t>
  </si>
  <si>
    <t>Amenity Greenspace</t>
  </si>
  <si>
    <t>OS1</t>
  </si>
  <si>
    <t>EHA13</t>
  </si>
  <si>
    <t>Approx. 1.05ha. amenity greenspace at East Harlow (Epping Forest portion)</t>
  </si>
  <si>
    <t>EFDC / Developers</t>
  </si>
  <si>
    <t>Assumes 100% of costs met through developers</t>
  </si>
  <si>
    <t>Modelled output, based on standards in Epping Forest Open Space Strategy</t>
  </si>
  <si>
    <t>OS2</t>
  </si>
  <si>
    <t>GI_3</t>
  </si>
  <si>
    <t>Approx. 12.45ha. amenity greenspace at East Harlow (Harlow portion)</t>
  </si>
  <si>
    <t>HDC / Developers</t>
  </si>
  <si>
    <t>2020-2033</t>
  </si>
  <si>
    <t>Harlow IDP (2018) reports total requirement - for the purposes of the Garden Town IDP this total requirement has been broken down proportionately by number of units. Open space at East Harlow to include delivery in the form of a green wedge.</t>
  </si>
  <si>
    <t>Harlow IDP (recalculated based on revised site populations)</t>
  </si>
  <si>
    <t>Harlow Open Space &amp; Green Infrastructure Study 2013</t>
  </si>
  <si>
    <t>OS3</t>
  </si>
  <si>
    <t>LPR9</t>
  </si>
  <si>
    <t>Approx. 1.48ha. amenity greenspace at Latton Priory</t>
  </si>
  <si>
    <t>OS4</t>
  </si>
  <si>
    <t>WLA11</t>
  </si>
  <si>
    <t>Approx. 2.91ha. amenity greenspace at Water Lane Area</t>
  </si>
  <si>
    <t>OS5</t>
  </si>
  <si>
    <t>Approx. 11.42ha. of amenity greenspace at Gilston Villages 1-6</t>
  </si>
  <si>
    <t>EHDC / Developers</t>
  </si>
  <si>
    <t>Emerging masterplan for Gilston includes open space beyond the East Herts standards. For the purposes of the IDP the East Herts standards have been applied.</t>
  </si>
  <si>
    <t>Modelled output, based on standards in East Herts Open Spaces Assessment</t>
  </si>
  <si>
    <t>OS6</t>
  </si>
  <si>
    <t>Approx. 2.02ha. of amenity greenspace at Gilston Village 7</t>
  </si>
  <si>
    <t>OS7</t>
  </si>
  <si>
    <t>Approx 5.49ha. amenity greenspace across other sites (excluding East Harlow) within Harlow</t>
  </si>
  <si>
    <t>Public Parks and Gardens</t>
  </si>
  <si>
    <t>OS8</t>
  </si>
  <si>
    <t>EHA12</t>
  </si>
  <si>
    <t>Approx. 1.40ha. public parks and gardens at East Harlow (Epping Forest portion)</t>
  </si>
  <si>
    <t>OS9</t>
  </si>
  <si>
    <t>GI_2</t>
  </si>
  <si>
    <t>Approx. 14.00ha. public parks and gardens at East Harlow (Harlow portion)</t>
  </si>
  <si>
    <t>OS10</t>
  </si>
  <si>
    <t>LPR8</t>
  </si>
  <si>
    <t>Approx. 1.97ha. public parks and gardens at Latton Priory</t>
  </si>
  <si>
    <t>OS11</t>
  </si>
  <si>
    <t>WLA10</t>
  </si>
  <si>
    <t>Approx. 3.88ha. public parks and gardens at Water Lane Area</t>
  </si>
  <si>
    <t>OS12</t>
  </si>
  <si>
    <t>Approx. 15.23ha. of amenity greenspace (including parks and gardens) at Gilston Villages 1-6</t>
  </si>
  <si>
    <t>OS13</t>
  </si>
  <si>
    <t>Approx. 2.69ha of amenity greenspace (including parks and gardens) at Gilston Village 7</t>
  </si>
  <si>
    <t>OS14</t>
  </si>
  <si>
    <t>Approx 6.18ha. public parks and gardens across other sites (excluding East Harlow) within Harlow</t>
  </si>
  <si>
    <t>Natural and Semi-Natural Open Space</t>
  </si>
  <si>
    <t>OS15</t>
  </si>
  <si>
    <t>Approx. 3.15ha. of natural space at East Harlow (Epping Forest portion)</t>
  </si>
  <si>
    <t>OS16</t>
  </si>
  <si>
    <t>GI_1</t>
  </si>
  <si>
    <t>Approx. 15.56ha. of natural space at East Harlow (Harlow portion)</t>
  </si>
  <si>
    <t>OS17</t>
  </si>
  <si>
    <t>Approx. 4.44ha. of natural space at Latton Priory</t>
  </si>
  <si>
    <t>OS18</t>
  </si>
  <si>
    <t>Approx. 8.74ha. of natural space at Water Lane Area</t>
  </si>
  <si>
    <t>OS19</t>
  </si>
  <si>
    <t>Approx. 60.93ha. of natural and semi-natural greenspace at Gilston Villages 1-6</t>
  </si>
  <si>
    <t>OS20</t>
  </si>
  <si>
    <t>Approx. 10.75ha. of natural and semi-natural greenspace at Gilston Village 7</t>
  </si>
  <si>
    <t>OS21</t>
  </si>
  <si>
    <t>Approx 6.86ha. natural space across other sites (excluding East Harlow) within Harlow</t>
  </si>
  <si>
    <t>Children's Play</t>
  </si>
  <si>
    <t>OS22</t>
  </si>
  <si>
    <t>EHA14</t>
  </si>
  <si>
    <t>Approx. 0.44ha. provision for children and young people at East Harlow (Epping Forest portion)</t>
  </si>
  <si>
    <t>OS23</t>
  </si>
  <si>
    <t>CF_16</t>
  </si>
  <si>
    <t>Approx. 1.87ha. Local Equipped Area for Play (LEAP) at East Harlow (Harlow portion)</t>
  </si>
  <si>
    <t>Atkins estimate based on various sources in Essex County Council consultation</t>
  </si>
  <si>
    <t>OS24</t>
  </si>
  <si>
    <t>CF_17</t>
  </si>
  <si>
    <t>Approx 2.49ha. Neighbourhood Equipped Area for Play (NEAP) at East Harlow (Harlow portion)</t>
  </si>
  <si>
    <t>OS25</t>
  </si>
  <si>
    <t>LPR10</t>
  </si>
  <si>
    <t>Approx. 0.62ha. provision for children and young people at Latton Priory</t>
  </si>
  <si>
    <t>OS26</t>
  </si>
  <si>
    <t>WLA12</t>
  </si>
  <si>
    <t>Approx. 1.21ha. provision for children and young people at Water Lane Area</t>
  </si>
  <si>
    <t>OS27</t>
  </si>
  <si>
    <t>Approx. 4.76ha. of children's play facilities at Gilston Villages 1-6</t>
  </si>
  <si>
    <t>This includes provision for open space for teenagers, as from the East Herts Open Space Assessment</t>
  </si>
  <si>
    <t>OS28</t>
  </si>
  <si>
    <t>Approx. 0.84ha. of children's play facilities at Gilston Village 7</t>
  </si>
  <si>
    <t>OS29</t>
  </si>
  <si>
    <t>Approx. 0.82ha. Local Equipped Area for Play (LEAP) across Harlow (excluding East Harlow)</t>
  </si>
  <si>
    <t>OS30</t>
  </si>
  <si>
    <t>Approx. 1.10ha. Neighbourhood Equipped Area for Play (NEAP) across Harlow (excluding East Harlow)</t>
  </si>
  <si>
    <t>Allotments</t>
  </si>
  <si>
    <t>OS31</t>
  </si>
  <si>
    <t>EHA15</t>
  </si>
  <si>
    <t>Approx 0.35ha. allotments at East Harlow (Epping Forest portion)</t>
  </si>
  <si>
    <t>OS32</t>
  </si>
  <si>
    <t>GI_4</t>
  </si>
  <si>
    <t>Approx 1.56ha. allotments at East Harlow (Harlow portion)</t>
  </si>
  <si>
    <t>OS33</t>
  </si>
  <si>
    <t>LPR11</t>
  </si>
  <si>
    <t>Approx 0.49ha. allotments at Latton Priory</t>
  </si>
  <si>
    <t>OS34</t>
  </si>
  <si>
    <t>WLA13</t>
  </si>
  <si>
    <t>Approx 0.97ha. allotments at Water Lane Area</t>
  </si>
  <si>
    <t>OS35</t>
  </si>
  <si>
    <t>Approx. 5.71ha. allotments at Gilston Villages 1-6</t>
  </si>
  <si>
    <t>OS36</t>
  </si>
  <si>
    <t>Approx. 1.01ha. allotments at Gilston Village 7</t>
  </si>
  <si>
    <t>OS37</t>
  </si>
  <si>
    <t>Approx 0.69ha. allotments across other sites (excluding East Harlow) within Harlow</t>
  </si>
  <si>
    <t>OS38</t>
  </si>
  <si>
    <t>Upgrades at Harlow Town Park to reflect anticipated increased use</t>
  </si>
  <si>
    <t>OS39</t>
  </si>
  <si>
    <t>Contribution towards Epping Forest Suitable Alternative Natural Green Space (SANGS)</t>
  </si>
  <si>
    <t>Reviewed by Arup - based on an assumed 30ha. SANGS (see notes), with an enhanced natural and semi-natural open space specification</t>
  </si>
  <si>
    <t xml:space="preserve">The current Zone of Influence for the Epping Forest Special Area of Conservation (SAC) extends to 6.2km from its boundary. However, this will be subject to review from time to time. It is therefore necessary to ‘future-proof’ the Garden Town communities which lie partially within or within close proximity to, the current Zone of Influence. In order to achieve this an appropriate level of SANGS should be provided on the relevant sites.  A strategic approach will need to be taken to maximise the opportunities that exist to provide sufficient space to accommodate the necessary attributes to attract new residents, and some existing residents, to use that space.  In particular there is a need to provide a level and form of SANGS that will be used by dog-walkers who make up nearly 50% of the visitors to Epping Forest.
The minimum size of SANGS which is considered to be workable in terms of providing some opportunity to attract visitors, as advised by Natural England, is 8ha.  However, the size of site required to accommodate regular dog walkers is 30ha. This is necessary to provide sufficient size to accommodate a circular walking route of some 2.2km. The number of SANGS required is not yet determined.
Costs are not currently attributed to specific sites. Given the current uncertainties in relation to the scale of SANGS to be provided on individual sites within the Garden Town, there is a need to develop a strategic approach which both maximises the opportunities which are available and ensures an equitable approach. </t>
  </si>
  <si>
    <t>Draft Intermin Epping Forest SAC Mitigation Strategy</t>
  </si>
  <si>
    <t>OS40</t>
  </si>
  <si>
    <t>Air quality monitoring</t>
  </si>
  <si>
    <t>Epping Forest District Council (indicative costs to 2033 only)</t>
  </si>
  <si>
    <t>Costs are not currently attributed to specific sites - to be updated once mitigation strategy has been finalised.</t>
  </si>
  <si>
    <t>Consultation with Epping Forest District Council (as SAC competent authority)</t>
  </si>
  <si>
    <t>OS41</t>
  </si>
  <si>
    <t>Off-site green infrastructure at Stort Valley</t>
  </si>
  <si>
    <t xml:space="preserve">EHDC </t>
  </si>
  <si>
    <t>OS42</t>
  </si>
  <si>
    <t>Ongoing stewardship and governance</t>
  </si>
  <si>
    <t>Provision / Cost to be Apportioned to Windfall and Sites outside HGGT</t>
  </si>
  <si>
    <t>Open Space Infrastructure / Services</t>
  </si>
  <si>
    <t>S5</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</si>
  <si>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open space this should include:
- all areas of public open space incl. play and allotments;
- footpaths, cycleways within open space;
- play equipment, lighting and other street furniture within open space.</t>
    </r>
  </si>
  <si>
    <t>Each new development, where new community assets are to be provided including various types of public open space, should set up a community based or publicly controlled stewardship body to oversee the management of those community assets for the benefit of residents along with appropriate revenue generating assets or endowments to ensure long term viability.</t>
  </si>
  <si>
    <t>Community / Publicly controlled Stewardship Body with revenue generation arrangements</t>
  </si>
  <si>
    <t>Each new development, where new community assets are to be provided including various types of public open space, should set up a community based or publicly controlled stewardship body to oversee the management of those community assets for the benefit of residents along with appropriate revenue generating assets or endowments to ensure long term viability. To be agreed at application stage.</t>
  </si>
  <si>
    <t>Garden Town Parks and Gardens and Natural/Semi-Natural Green Space &amp; Suitable Alternative Natural Green Space (SANGS)</t>
  </si>
  <si>
    <r>
      <t xml:space="preserve">OS1
</t>
    </r>
    <r>
      <rPr>
        <sz val="11"/>
        <rFont val="Gill Sans MT"/>
        <family val="2"/>
      </rPr>
      <t>(OS38)</t>
    </r>
  </si>
  <si>
    <t xml:space="preserve">Harlow Town Park upgrades, including:
a) First Ave. and School Lane entrances;
b) Edinburgh Way and Fifth Ave. entrances;
c) Sustrans National Cycle Route 1 resurfacing;
d) ZigZag new town bridge refurbishment;
e) Edinburgh Way underpass refurbishment;
f) Stort Valley Meadows recreation / habitat;
g) Wayfinding;
h) Pedestrian and Cycle pathway segregation, cycle parking, lighting and seating;
i) Greyhound Toilet building conversion to community use;
j) Pets Corner rainwater harvesting / solar panels to events barn;
k) Sculpture trail enhancement;
l) Park Management and capital project delivery. </t>
  </si>
  <si>
    <t>See IDP Evidence, Appendix 6 - Open Space Infrastructure, Responses from Harlow Council</t>
  </si>
  <si>
    <t>Harlow Town Park provides a significant Garden Town wide community space with formal play areas, green spaces and opportunities for communities to meet. HDC Town Park Management Plan 2020-2025 identifies capital projects as set out in projects a-l.</t>
  </si>
  <si>
    <t>HDC cost estimates as follows:
a) unknown;
b) £116,168;
c) unknown;
d) unknown;
e) unknown;
f) unknown;
g) unknown;
h) £159,169 for path between Edinburgh Way  entrance to Showground;
i) unknown;
j) unknown;
k) unknown;
l) unknown.</t>
  </si>
  <si>
    <r>
      <rPr>
        <b/>
        <sz val="11"/>
        <rFont val="Gill Sans MT"/>
        <family val="2"/>
      </rPr>
      <t>YES</t>
    </r>
    <r>
      <rPr>
        <sz val="11"/>
        <rFont val="Gill Sans MT"/>
        <family val="2"/>
      </rPr>
      <t>: Costs to be index linked from Q3 2021 using RICS BCIS Tender Price Index or as otherwise updated.</t>
    </r>
  </si>
  <si>
    <t>HDC have secured developer contributions of:
£17,921 for Town Park improvements.</t>
  </si>
  <si>
    <t>Contributions to be sought in accordance with HDC Open Space SPD</t>
  </si>
  <si>
    <t>HDC to seek contributions from developments of 10+ dwellings in accordance with the HDC Green Infrastructure and Public Open Space SPD on a case by case basis for identified and costed projects.
Assumed no contributions are sought from the new garden communities which are each required to deliver significant new areas of public open space on-site, unless otherwise agreed.</t>
  </si>
  <si>
    <r>
      <rPr>
        <b/>
        <sz val="11"/>
        <rFont val="Gill Sans MT"/>
        <family val="2"/>
      </rPr>
      <t>YES</t>
    </r>
    <r>
      <rPr>
        <sz val="11"/>
        <rFont val="Gill Sans MT"/>
        <family val="2"/>
      </rPr>
      <t>: Contributions to be index linked from Q3 2021 using RICS BCIS Tender Price Index or as otherwise updated.</t>
    </r>
  </si>
  <si>
    <t>Delivery phasing not currently known</t>
  </si>
  <si>
    <t xml:space="preserve">OS2
</t>
  </si>
  <si>
    <t>Jean McAlpine and Canons Brook Country park, including:
a) Jean McAlpine Park (7ha) access and pathway improvements;
b) Canons Brook Valley (4 ha) expansion;
c) Third Avenue Meadows (9 ha) expansion.</t>
  </si>
  <si>
    <t>HDC have identified a long term ambition to enhance and expand Jean McAlpine Park to create a 20 hectare Country Park to meet the needs of the growing population, reduce pressures on Harlow Town Park and provide opportunities for delivering biodiversity net gain.</t>
  </si>
  <si>
    <t>Costs currently unknown.</t>
  </si>
  <si>
    <r>
      <t xml:space="preserve">OS3
</t>
    </r>
    <r>
      <rPr>
        <sz val="11"/>
        <rFont val="Gill Sans MT"/>
        <family val="2"/>
      </rPr>
      <t>(OS39)</t>
    </r>
  </si>
  <si>
    <t>Epping Forest Suitable Alternative Natural Green Space (SANGS), including:
a) 13 ha SANG at Water Lane;
b) 20 ha SANG at Latton Priory.</t>
  </si>
  <si>
    <t>See IDP Evidence, Appendix 6 - Open Space Infrastructure, Responses from Epping Forest District Council</t>
  </si>
  <si>
    <t>EFDC Green Infrastructure Strategy identifies need for provision of Suitable Alternative Natural Green Space (SANGS) of 13ha at Water Lane and 20ha at Latton Priory to reduce the impacts of the developments on Epping Forest.</t>
  </si>
  <si>
    <t>a) 13 ha at Water Lane;
b) 20 ha at Latton Priory</t>
  </si>
  <si>
    <t xml:space="preserve">EFDC Green Infrastructure Strategy identifies need for provision of Suitable Alternative Natural Green Space (SANGS) of 13ha at Water Lane and 20ha at Latton Priory to reduce the impacts of the developments on Epping Forest. SANGS to be delivered as part of development masterplans. </t>
  </si>
  <si>
    <t>SANGS to be delivered as part of development Masterplans. If unable to deliver the SANGS in full contributions may be considered towards the Jean McAlpine Country Park project, subject to discussion with Harlow Council.</t>
  </si>
  <si>
    <t>a) 13 ha SANGS at Water Lane</t>
  </si>
  <si>
    <t>b) 20 ha SANGS at Latton Priory</t>
  </si>
  <si>
    <t>Hatfield Forest Mitigation Strategy:</t>
  </si>
  <si>
    <t>National Trust have identified the need to mitigate impacts upon Hatfield Forest due to population growth in the surrounding area.</t>
  </si>
  <si>
    <t>On-site / off-site mitigation to be assessed at application stage</t>
  </si>
  <si>
    <t>Final Mitigation Plan currently not published.</t>
  </si>
  <si>
    <t>On-site or new alternative Green Space provision on new developments and / or contributions towards management of Hatfield Forest may be required, to be assessed at Application stage.</t>
  </si>
  <si>
    <r>
      <t xml:space="preserve">OS5
</t>
    </r>
    <r>
      <rPr>
        <sz val="11"/>
        <rFont val="Gill Sans MT"/>
        <family val="2"/>
      </rPr>
      <t>(OS41)</t>
    </r>
  </si>
  <si>
    <t>Stort Valley Green and Blue Infrastructure, including:
a) Green and Blue infrastructure, Biodiversity, Habitat and Recreation enhancements in the Stort Valley;
b) Stort canal tow path improvements between Harlow mill and Roydon.</t>
  </si>
  <si>
    <t>See IDP Evidence, Appendix 6 - Open Space Infrastructure</t>
  </si>
  <si>
    <t xml:space="preserve">Canal &amp; River Trust (CRT) / Various Wildlife Bodies / Developer(s) </t>
  </si>
  <si>
    <t>EHDC IDP (2017) identified the requirement for a fund to be established to deliver green infrastructure enhancements in the Stort Valley area to mitigate the impacts from potential additional recreation pressure from nearby development.
CRT identified (Jan 2021) in response to applications 3/19/1045/OUT and 3/19/2124/OUT works to enhance tow paths to meet recreational pressures.</t>
  </si>
  <si>
    <r>
      <rPr>
        <b/>
        <sz val="11"/>
        <rFont val="Gill Sans MT"/>
        <family val="2"/>
      </rPr>
      <t>YES</t>
    </r>
    <r>
      <rPr>
        <sz val="11"/>
        <rFont val="Gill Sans MT"/>
        <family val="2"/>
      </rPr>
      <t>: Costs to be index linked using Index to be advised (or as otherwise updated):
a) from Q2 2019;
b) from Q1 2021.</t>
    </r>
  </si>
  <si>
    <t>EHDC and CRT have identified these projects as required to meet the needs of and mitigate the impacts of the Gilston Area.
a) Contributions will be sought as follows:
Villages 1-6 will contribute £3,000,000.
Village 7 will contribute the lesser of £382,500 or 15% of the total cost.</t>
  </si>
  <si>
    <t>Direct delivery or contribution in lieu:</t>
  </si>
  <si>
    <t>Local Village/Neighbourhood Parks and Gardens and Natural/Semi-Natural Green Space</t>
  </si>
  <si>
    <r>
      <t xml:space="preserve">OS6
</t>
    </r>
    <r>
      <rPr>
        <sz val="11"/>
        <rFont val="Gill Sans MT"/>
        <family val="2"/>
      </rPr>
      <t>(OS8-OS14)</t>
    </r>
  </si>
  <si>
    <t>Local Public Parks and Gardens, including (approximately):
- 17.92ha new country park at Gilston Area;
- 15.4ha at East of Harlow;
- 3.88ha at Water Lane;
- 1.97ha at Latton Priory;
- new/enhanced provision to serve new developments in existing neighbourhoods to be assessed on a site by site basis.</t>
  </si>
  <si>
    <t>Developer(s) / Harlow Council (HDC)</t>
  </si>
  <si>
    <t xml:space="preserve">Local Parks and Gardens primarily provide for informal recreation and community events for residents and can include formal planted public gardens with features such seating, spaces to congregate or hold small events, play areas, water features and public art.  </t>
  </si>
  <si>
    <t>approx. 39 ha of new Local Parks and Gardens</t>
  </si>
  <si>
    <t>New development Local Parks and Gardens in accordance with respective District Council Open Space standards, including:
- HDC Green Infrastructure and Public Open Space Standards requiring consideration on a site by site basis.</t>
  </si>
  <si>
    <t>Local Parks and Gardens spaces to be provided on-site at the new garden communities unless in exceptional cases where it would be preferable to focus some of the need on enhancement of an existing area. Smaller developments to be assessed on a site by site basis where on-site provision or a commuted sum may be considered.</t>
  </si>
  <si>
    <t>Financial contribution to enhancement of off-site Local Parks and Gardens to be assessed at Applications stage</t>
  </si>
  <si>
    <t>(a) approx. 17.92ha of new Local Parks and Gardens</t>
  </si>
  <si>
    <t>(b) approx. 15.4ha of new Local Parks and Gardens</t>
  </si>
  <si>
    <t>(c) approx. 3.88 ha of new Local Parks and Gardens</t>
  </si>
  <si>
    <t>(d) approx. 1.97 ha of new Local Parks and Gardens</t>
  </si>
  <si>
    <t>2.64ha of new public Parks and Gardens or Financial Contribution</t>
  </si>
  <si>
    <t>Contribution to enhancement of off-site Local Parks and Gardens to be assessed at Applications stage</t>
  </si>
  <si>
    <r>
      <t xml:space="preserve">OS7
</t>
    </r>
    <r>
      <rPr>
        <sz val="11"/>
        <rFont val="Gill Sans MT"/>
        <family val="2"/>
      </rPr>
      <t>(OS15-OS21)</t>
    </r>
  </si>
  <si>
    <t>Natural and Semi-Natural Green Space, including (approximately):
a) 71.68ha at Gilston Area;
b) 18.71ha at East of Harlow;
c) provisions for Water Lane and Latton Priory to be met through the SANGS (see OS3);
d) new / enhanced provision to serve new developments in existing neighbourhoods to be assessed on a site by site basis.</t>
  </si>
  <si>
    <t>Natural and Semi-natural Green Space primarily provide spaces for wildlife conservation, biodiversity and educational awareness by maintaining or improving the natural landscapes. They should generally connect with green corridors and wedges but can be small scale is size between housing developments or on a larger scale serving the Garden Town such as Parndon Wood SSSI.</t>
  </si>
  <si>
    <t>approx. 90 ha of new / protected Natural and Semi-Natural Green Space</t>
  </si>
  <si>
    <t>New development Natural and Semi-natural Green Space in accordance with respective District Council Open Space standards, including:
- HDC Green Infrastructure and Public Open Space Standards requiring consideration on a site by site basis.</t>
  </si>
  <si>
    <t>Natural and Semi-natural Green Space to be provided on-site at the new garden communities unless in exceptional cases where it would be preferable to focus some of the need on enhancement of an existing area. Smaller developments to be assessed on a site by site basis where on-site provsiion or a commuted sum may be considered.</t>
  </si>
  <si>
    <t>(a) approx. 71.68ha of new public natural and semi-natural green space</t>
  </si>
  <si>
    <t>(b) approx. 18.71ha of new public natural and semi-natural green space</t>
  </si>
  <si>
    <t>See OS3</t>
  </si>
  <si>
    <t>On-site / contribution to Natural and Semi-natural Green Space to be considered at Application stage</t>
  </si>
  <si>
    <t>Contribution to off-site Natural and Semi-natural Green Space to be assessed at Applications stage</t>
  </si>
  <si>
    <t>Public Realm and Amenity Green Space (may include LAP (Local Area of Play)) and other public spaces</t>
  </si>
  <si>
    <t xml:space="preserve">Town Centre public realm priority projects, including:
a) Terminus Street: Transport Hub (see Transport Schedule);
b) Stone Cross Square: Leisure and Hospitality;
c) West Square: Greenery &amp; Amenity;
d) Playhouse Quarter: Arts and Culture;
e) Broad Walk: Retail;
f) Other areas of public realm. </t>
  </si>
  <si>
    <t>f) East Gate;</t>
  </si>
  <si>
    <t>e) Broad Walk;</t>
  </si>
  <si>
    <t>Harlow Council (HDC) / Developer(s)</t>
  </si>
  <si>
    <t>On 24th March 2022, HDC formally adopted the Town Centre Masterplan Framework SPD which identified 5 priority projects as part of the Town Centre Public Realm Vision.</t>
  </si>
  <si>
    <t>HDC identify the cost of priority projects as:
a) Project to be delivered as part of the STC Network, see Transport Schedule;
b &amp; d) £19,370,000;
c) currently unknown;
e) £3,875,000;
f) East Gate Public Realm £1,000,000; other projects to be considered on case by case basis.</t>
  </si>
  <si>
    <r>
      <rPr>
        <b/>
        <sz val="11"/>
        <rFont val="Gill Sans MT"/>
        <family val="2"/>
      </rPr>
      <t>YES</t>
    </r>
    <r>
      <rPr>
        <sz val="11"/>
        <rFont val="Gill Sans MT"/>
        <family val="2"/>
      </rPr>
      <t>: Costs to be index linked from Q2 2019 using RICS BCIS Tender Price Index or as otherwise updated.</t>
    </r>
  </si>
  <si>
    <t>HDC have secured the following funding:
e) £3,875,000 from Harlow Towns Fund for Broad Walk;
f) £1,000,000 from Accelerated Fund to undertake public realm improvements to East Gate.</t>
  </si>
  <si>
    <t>local public realm enhancement / contribution to (a-f) schemes to be agreed at application stage</t>
  </si>
  <si>
    <t>Public Realm Improvements to East Gate underway and to be completed in Spring 2022 that will connect projects a, b, c and e. Broad Walk public realm improvements (e) to be delivered by Spring 2025.  Delivery Phasing of other projects currently unknown.</t>
  </si>
  <si>
    <t>Local Neighbourhood Centres public realm, including:
a) The Stow;
b) Bush Fair;
c) Staple Tye;
d) Church Langley;
e) Old Harlow.</t>
  </si>
  <si>
    <t>(c) Staple Tye;</t>
  </si>
  <si>
    <t>HDC Local Development Plan (December 2020) identifies that Local Neighbourhood Centres provide services such as healthcare, places to eat and drink and financial services and local employment for the residents in the local and wider area.</t>
  </si>
  <si>
    <t>Provision / contribution to public realm improvements at nearby Local Neighbourhood Centres</t>
  </si>
  <si>
    <t>Projects to be identified from time to time. Current projects include:
c) Staple Tye Neighbourhood Renewal to provide enhanced connectivity and quality workspace next to the Local Neighbourhood Centre.</t>
  </si>
  <si>
    <t>HDC have secured the following funding:
c) £3,000,000 from Harlow Towns Fund for Stale Tye.</t>
  </si>
  <si>
    <t xml:space="preserve">New residents of developments within proximity to existing Local Centres should be encouraged to shop and socialise locally in order to support health and wellbeing and support active and sustainable travel. Developments may be required to deliver or contribute to public realm enhancements at Local Centres to ensure they meet residents' needs. </t>
  </si>
  <si>
    <t>public realm enhancement / contribution to (a) The Stow Local Centre to be agreed at Application stage</t>
  </si>
  <si>
    <t>public realm enhancement / contribution to (c) Staple Tye Local Centre to be agreed at Application stage</t>
  </si>
  <si>
    <t>public realm enhancement / contribution to (b) Bush Fair Local Centre to be agreed at Application stage</t>
  </si>
  <si>
    <t>Staple Tye Neighbourhood Renewal project (c) to be delivered by Spring 2025. No other projects currently identified for phasing</t>
  </si>
  <si>
    <t>Local Neighbourhood Hatches public realm, including:
a) Colt Hatch;
b) Slacksbury Hatch;
c) Cawley Hatch;
d) Katherines Hatch;
e) Pollards Hatch;
f) Sumners Hatch;
g) Coppice Hatch;
h) Sherards Hatch;
i) Maunds Hatch;
j) Elm Hatch;
k) Clifton Hatch;
l) Manor Hatch;
m) Prentice Place Hatch;
n) Fishers Hatch;
o) Pypers Hatch;
p) Burgoyne Hatch;
q) Ward Hatch;
r) Mill Hatch.</t>
  </si>
  <si>
    <t>HDC Local Development Plan (December 2020) identifies that Hatches are a key feature of Harlow's residential areas catering for the daily needs of communities within approximately a 400 metre walk of homes. Hatches are usually based around a primary school or local open space and contain around four to five individual retail units, community facilities and public houses which often provide a focus for community activities.</t>
  </si>
  <si>
    <t>Provision / contribution to public realm improvements at nearby Hatches</t>
  </si>
  <si>
    <t>Projects to be identified from time to time or assessed when applications are submitted.</t>
  </si>
  <si>
    <t xml:space="preserve">New residents of developments within proximity to existing Local Hatches should be encouraged to shop and socialise locally in order to support health and wellbeing and support active and sustainable travel. Developments may be required to deliver or contribute to public realm enhancements at Local Hatches to ensure they meet residents' needs. </t>
  </si>
  <si>
    <t>Contribution to public realm enhancements to (a) Colt Hatch to be agreed at application stage</t>
  </si>
  <si>
    <t>Contribution to public realm enhancements to (k) Clifton Hatch to be agreed at application stage</t>
  </si>
  <si>
    <t>public realm enhancement / contribution to (e) Pollards Hatch to be agreed at Application stage</t>
  </si>
  <si>
    <t>public realm enhancement / contribution to (g) Coppice Hatch to be agreed at Application stage</t>
  </si>
  <si>
    <t>Contribution to public realm enhancements to (e) Pollards Hatch to be agreed at application stage</t>
  </si>
  <si>
    <t>public realm enhancement / contribution to (j) Elm Hatch to be agreed at Application stage</t>
  </si>
  <si>
    <t>public realm enhancement / contribution to (n) Fishers Hatch to be agreed at Application stage</t>
  </si>
  <si>
    <t>public realm enhancement / contribution to (b) Slacksbury Hatch to be agreed at Application stage</t>
  </si>
  <si>
    <t>Contribution to public realm enhancements to (l) Manor Hatch to be agreed at application stage</t>
  </si>
  <si>
    <t>Contribution to public realm enhancements to (i) Maunds Hatch to be agreed at application stage</t>
  </si>
  <si>
    <t>public realm enhancement / contribution to (o) Pypers Hatch to be agreed at Application stage</t>
  </si>
  <si>
    <t>No individual projects currently identified for Phasing</t>
  </si>
  <si>
    <t>Amenity Green Space (may include LAP (Local Area of Play)), including (approximately):
- 13.44ha at Gilston Area;
- 13.5ha at East of Harlow;
- 2.91ha at Water Lane;
- 1.48ha at Latton Priory;
- 2.8ha new/enhanced provision in Harlow to serve new developments in existing neighbourhoods.</t>
  </si>
  <si>
    <t>Amenity Green Space provides opportunities for more informal activities to take place close to home or work. As 'doorstep' green areas, amenity green spaces can provide for casual play by young children close to housing and supervised by adults, and can provide sitting out areas for older persons.</t>
  </si>
  <si>
    <t>approx. 34 ha of new Amenity Green Space</t>
  </si>
  <si>
    <t>New development Amenity Green Space in accordance with respective District Council Open Space standards, including:
- HDC Green Infrastructure and Public Open Space Standards requiring 4sqm per person (c. 9.6sqm per 2bed house).</t>
  </si>
  <si>
    <t>approx. 32 ha of new Amenity Green Space</t>
  </si>
  <si>
    <t>Amenity Green Space must be provided on-site on new developments unless in exceptional cases where it would be preferable to focus on enhancement of an existing area instead of providing new open space where a commuted sum may be considered.</t>
  </si>
  <si>
    <r>
      <t xml:space="preserve">OS10
</t>
    </r>
    <r>
      <rPr>
        <sz val="11"/>
        <rFont val="Gill Sans MT"/>
        <family val="2"/>
      </rPr>
      <t>(OS1-OS7)</t>
    </r>
  </si>
  <si>
    <t>approx. 13.44 ha of Amenity Green Space</t>
  </si>
  <si>
    <t>approx. 13.5 ha of Amenity Green Space</t>
  </si>
  <si>
    <t>approx. 2.91 ha of Amenity Green Space</t>
  </si>
  <si>
    <t>approx. 1.48 ha of Amenity Green Space</t>
  </si>
  <si>
    <t>approx. 0.53 ha of Amenity Green Space</t>
  </si>
  <si>
    <t>approx. 672 sqm of Amenity Green Space</t>
  </si>
  <si>
    <t>approx. 288 sqm of Amenity Green Space</t>
  </si>
  <si>
    <t>approx. 336 sqm of Amenity Green Space</t>
  </si>
  <si>
    <t>approx. 192 sqm of Amenity Green Space</t>
  </si>
  <si>
    <t>approx. 154 sqm of Amenity Green Space</t>
  </si>
  <si>
    <t>approx. 144 sqm of Amenity Green Space</t>
  </si>
  <si>
    <t>approx. 125 sqm of Amenity Green Space</t>
  </si>
  <si>
    <t>approx. 96 sqm of Amenity Green Space</t>
  </si>
  <si>
    <t>approx. 2 ha of Amenity Green Space</t>
  </si>
  <si>
    <t>approx. 9.6 sqm of Amenity Green Space per dwelling</t>
  </si>
  <si>
    <r>
      <t xml:space="preserve">OS11
</t>
    </r>
    <r>
      <rPr>
        <sz val="11"/>
        <rFont val="Gill Sans MT"/>
        <family val="2"/>
      </rPr>
      <t>(OS31-OS37)</t>
    </r>
  </si>
  <si>
    <t>Allotment provision, including (approximately):
- 6.72ha at Gilston Area;
- 1.91ha at East of Harlow;
- 0.97ha at Water Lane;
- 0.49ha at Latton Priory;
- 0.33ha new/enhanced provision in Harlow.</t>
  </si>
  <si>
    <t>Allotments provide opportunities for those wishing to grow their own produce as part of the long term promotion of sustainability, health and inclusion.</t>
  </si>
  <si>
    <t>approx. 10-11 ha of new Allotments</t>
  </si>
  <si>
    <t>New development Allotment space in accordance with respective District Council Open Space standards, including:
- HDC Green Infrastructure and Public Open Space Standards requiring 2.5sqm per person (c. 6sqm per 2bed house) with development over 500+ to include on-site and developments 50-500 to provide a financial contribution depending on local provision.</t>
  </si>
  <si>
    <t>approx. 6.72 ha of new Allotment space</t>
  </si>
  <si>
    <t>approx. 1.91 ha of new Allotment space</t>
  </si>
  <si>
    <t>approx. 0.97 ha of new Allotment space</t>
  </si>
  <si>
    <t>approx. 0.49 ha of new Allotment space</t>
  </si>
  <si>
    <t>approx. 0.33 ha of new Allotment space</t>
  </si>
  <si>
    <t>Contribution to Allotments may be sought depending on local availability</t>
  </si>
  <si>
    <t>new Allotment provision / contribution may be required depending on local availability</t>
  </si>
  <si>
    <t xml:space="preserve">Equipped Areas of Play </t>
  </si>
  <si>
    <r>
      <t xml:space="preserve">OS12
</t>
    </r>
    <r>
      <rPr>
        <sz val="11"/>
        <rFont val="Gill Sans MT"/>
        <family val="2"/>
      </rPr>
      <t>(OS22-OS30)</t>
    </r>
  </si>
  <si>
    <t xml:space="preserve">Local Equipped Area of Play (LEAP) and Neighbourhood Equipped Area of Play (NEAP), including (approximately):
a) provision at Gilston Area to be agreed at Masterplan and application stage;
b) 2.49 ha new NEAP at East of Harlow;
c) provision at Water Lane to be agreed at Masterplan and application stage;
d) provision at Water Lane to be agreed at Masterplan and application stage;
e) 0.82 ha new / enhanced LEAP in Harlow;
f) 1.1 ha new / enhanced NEAP in Harlow;
</t>
  </si>
  <si>
    <t>Equipped areas of play include local facilities for young children referred to as Local Equipped Areas of Play (LEAP) and neighbourhood facilities for older children referred to as Neighbourhood Equipped Areas of Play (NEAP). These spaces are designed primarily for play and social interaction involving young people.</t>
  </si>
  <si>
    <t>approx. 0.82 ha of new LEAP and 3.59 ha of new NEAP</t>
  </si>
  <si>
    <t>New development Play provision in accordance with respective District Council Open Space standards, including:
- HDC Green Infrastructure and Public Open Space Standards requiring 1.75sqm LEAP and 1.75sqm NEAP per person (c. 4.2sqm each per 2 bed house).</t>
  </si>
  <si>
    <t xml:space="preserve">HDC identify Play needs as:
b) 2.49 ha NEAP East Harlow;
e) 0.82 ha new / enhanced LEAP in neighbourhoods;
f) 1.1 ha new / enhanced NEAP in existing neighbourhoods.
Needs at Gilston Area, Water Lane and Latton Priory to be agreed at Masterplan / application stage. Contributions may be sought from smaller developments.
</t>
  </si>
  <si>
    <t>Play provision to be agreed at Masterplan / Application stage</t>
  </si>
  <si>
    <t>approx. 2.49 ha of new NEAP, provision of LEAP to be agreed at Masterplan / Application stage</t>
  </si>
  <si>
    <t>up to 0.23 ha of new LEAP and 0.23 ha of new LEAP</t>
  </si>
  <si>
    <r>
      <t xml:space="preserve">up to. 294 sqm of new LEAP </t>
    </r>
    <r>
      <rPr>
        <u/>
        <sz val="11"/>
        <rFont val="Gill Sans MT"/>
        <family val="2"/>
      </rPr>
      <t>and</t>
    </r>
    <r>
      <rPr>
        <sz val="11"/>
        <rFont val="Gill Sans MT"/>
        <family val="2"/>
      </rPr>
      <t xml:space="preserve"> Contribution may be sought for NEAP depending on local availability</t>
    </r>
  </si>
  <si>
    <t>Contribution may be sought for LEAP and / or NEAP depending on local availability</t>
  </si>
  <si>
    <t>up to 0.89 ha of new LEAP and 0.89 ha of new LEAP</t>
  </si>
  <si>
    <t>Other management activities</t>
  </si>
  <si>
    <r>
      <t xml:space="preserve">OS13
</t>
    </r>
    <r>
      <rPr>
        <sz val="11"/>
        <rFont val="Gill Sans MT"/>
        <family val="2"/>
      </rPr>
      <t>(OS40)</t>
    </r>
  </si>
  <si>
    <t>Air Quality Monitoring.</t>
  </si>
  <si>
    <t>Epping Forest District Council (EFDC) / Developer(s)</t>
  </si>
  <si>
    <t>Requirement in accordance with Epping Forest Interim Air Pollution Mitigation Strategy: Managing the Effects of Air Pollution on the Epping Forest Special Area of Conservation (2020) https://www.efdclocalplan.org/wp-content/uploads/2021/07/EB212-Final-Interim-APM-Strategy-for-EFSAC-101220.pdf</t>
  </si>
  <si>
    <t>Costs in accordance with Epping Forest Interim Air Pollution Mitigation Strategy: - £232 per dwelling tariff</t>
  </si>
  <si>
    <r>
      <rPr>
        <b/>
        <sz val="11"/>
        <rFont val="Gill Sans MT"/>
        <family val="2"/>
      </rPr>
      <t>YES</t>
    </r>
    <r>
      <rPr>
        <sz val="11"/>
        <rFont val="Gill Sans MT"/>
        <family val="2"/>
      </rPr>
      <t>: Costs to be index linked using Index to be advised (or as otherwise updated):
a) from date to be advised.</t>
    </r>
  </si>
  <si>
    <t>Each development with EFDC District area to contribute in accordance with per dwelling tariff.</t>
  </si>
  <si>
    <t>Cost to be Apportioned to Windfall and Sites outside HGGT</t>
  </si>
  <si>
    <t>Cost Source</t>
  </si>
  <si>
    <t>SF1</t>
  </si>
  <si>
    <t>CF_4</t>
  </si>
  <si>
    <t>New affordable community leisure centre within Harlow, comprising: six-lane 25m pool plus teaching pool; four court sports hall; 100-150 station fitness suite; and two studios</t>
  </si>
  <si>
    <t>Reviewed by Arup (see notes)</t>
  </si>
  <si>
    <t>Site to be determined. Costs are based on Sports England standard costs; actual costs will be site-specific and may be higher.</t>
  </si>
  <si>
    <t>2017 Harlow Sports Facilities Assessment Study</t>
  </si>
  <si>
    <t>SF2</t>
  </si>
  <si>
    <t>CF_21</t>
  </si>
  <si>
    <t>New affordable community leisure centre within Gilston, comprising: six-lane 25m pool plus teaching pool; four court sports hall; 170 station fitness suite; playing pitches; and two studios</t>
  </si>
  <si>
    <t>EHDC / HCC / Providers</t>
  </si>
  <si>
    <t>To be delivered alongside a secondary school within Gilston. Costs are based on Sports England standard costs; actual costs will be site-specific and may be higher.</t>
  </si>
  <si>
    <t>Sports &amp; Leisure Infrastructure / Services</t>
  </si>
  <si>
    <t>S6</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</si>
  <si>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open space this should include:
- all areas of public open space incl. allotments;
- footpaths, cycleways within open space;
- lighting and other street furniture within open space.</t>
    </r>
  </si>
  <si>
    <t>Garden Town -wide Facilities</t>
  </si>
  <si>
    <r>
      <t xml:space="preserve">SF1
</t>
    </r>
    <r>
      <rPr>
        <sz val="11"/>
        <rFont val="Gill Sans MT"/>
        <family val="2"/>
      </rPr>
      <t>(SF1 &amp; SF2 and new)</t>
    </r>
  </si>
  <si>
    <t>Leisure Centres and Sports Halls, including:
a) Harlow Leisure Zone;
b) new Community Leisure Centre at Gilston Area comprising: 6-lane 25m pool, teaching pool, 4-court sports hall, 170 station fitness suite, 2 studios, and playing pitches;
c) new Community Leisure Centre within Harlow comprising: 6-lane 25m pool, teaching pool, 4-court sports hall, 100-150 station fitness suite, and 2 studios;
d) new Community use Sports Hall: 4-courts.</t>
  </si>
  <si>
    <t>See IDP Evidence, Appendix 7 - Sports &amp; Leisure Infrastructure, Responses from Harlow Council</t>
  </si>
  <si>
    <t>Developer(s) / Harlow Council (HDC) / Operator(s)</t>
  </si>
  <si>
    <t>HDC Sports and Playing Pitch Strategy (2017) identified the need for 2 new leisure centres and a new sports hall to meet the needs of the increased population.</t>
  </si>
  <si>
    <t>As identified in the HDC Sports and Playing Pitch Strategy:
a) to be assessed;
b) £11,015,680;
c) £10,016,000;
d) £2,200,000.</t>
  </si>
  <si>
    <r>
      <rPr>
        <b/>
        <sz val="11"/>
        <rFont val="Gill Sans MT"/>
        <family val="2"/>
      </rPr>
      <t>YES</t>
    </r>
    <r>
      <rPr>
        <sz val="11"/>
        <rFont val="Gill Sans MT"/>
        <family val="2"/>
      </rPr>
      <t>: Costs to be index linked using Index to be advised (or as otherwise updated):
ALL from Q3 2017.</t>
    </r>
  </si>
  <si>
    <t>Direct delivery of (b) new Leisure Centre at Gilston Area</t>
  </si>
  <si>
    <t xml:space="preserve">Gilston Area required to deliver on-site new community leisure centre.
Contributions to be sought from other strategic sites towards a new leisure centre within Harlow.
Contributions also to be sought where appropriate towards a new Sports Hall. </t>
  </si>
  <si>
    <t>Potential delivery of (c) or (d) to be considered at Masterplan / Application stage</t>
  </si>
  <si>
    <t>Funding gap equates to the cost of the new Sports Hall. Assessment is required at Application stage for each strategic development to consider whether on-site delivery and funding is required and for all developments to consider potential contributions.</t>
  </si>
  <si>
    <t>Direct delivery of (b) new Community Leisure Centre in lieu:</t>
  </si>
  <si>
    <t>Contributions to be sought where appropriate</t>
  </si>
  <si>
    <t>Contributions to be sought where appropriate and or potential delivery of (c) or (d) to be considered at masterplan stage</t>
  </si>
  <si>
    <t>Athletics and Sports Hubs, including:
a) Athletics Hub;
b) new Gymnastics Centre;
c) Harlow Town Football Club;
d) Harlow Rugby Club;
e) Harlow Town Cricket Club;
f) Harlow Cricket Club (Old Harlow);
g) Harlow Lawn Tennis Club;
h) new Indoor Bowls Centre;
i) Town Park Pitch and Putt and Footgolf;
j) improved bicycle access and parking;
k) resurfacing of the existing Mark Hall athletics facility</t>
  </si>
  <si>
    <t>HDC Sports and Playing Pitch Strategy (2017) identified the need for a range of potential improvements and new facilities to meet the needs of the future population.</t>
  </si>
  <si>
    <t>new facilities and / or contributions to be sought where appropriate</t>
  </si>
  <si>
    <t>Developments to be assessed at Masterplan / Application stage to consider need for provision of new facilities on-site or contributions towards off-site new and exiting facilities.
d)  to secure contributions from Gilston developments (V1-6 to provide £1,691,500 and V7 to provide £298,500)
k) to secure contributions from Gilston developments (V1-6 to provide £85,000 and V7 to provide £17,647)</t>
  </si>
  <si>
    <t>Assessment is required at Application stage for each strategic development to consider whether on-site delivery and funding is required and for all developments to consider potential contributions.</t>
  </si>
  <si>
    <t>Town Centre Local Facilities</t>
  </si>
  <si>
    <t>There are currently no community sports facilities or pitches in the Town Centre. Residents needs to be met through the leisure centre and College facilities, subject to access, and at facilities and pitches within neighbouring wards of Netteswell, Toddbrook and Little Parndon and Hare Street unless opportunities arise to provide new facilities or pitches.</t>
  </si>
  <si>
    <t>HDC Sports and Playing Pitch Strategy (2017) identified the need for a range of potential improvements to meet the needs of the future population.</t>
  </si>
  <si>
    <t>Developments to be assessed at Application stage to consider need for new facilities.</t>
  </si>
  <si>
    <t>Netteswell Local Facilities</t>
  </si>
  <si>
    <t>Netteswell Local Sports &amp; Leisure Facilities, including:
a) Long Ley Playing Field;
b) The Dashes Playing Field;
c) new measured running / walking routes in existing open spaces;
d) improved bicycle access and parking.</t>
  </si>
  <si>
    <t>As identified in the HDC Sports and Playing Pitch Strategy:
a) £0.683m;
b) £0.245m;
c) to be assessed;
d) to be assessed.</t>
  </si>
  <si>
    <t>Developments to be assessed at Application stage to consider need for contributions towards exiting facilities.</t>
  </si>
  <si>
    <t>contributions to be sought where appropriate</t>
  </si>
  <si>
    <t xml:space="preserve">Assessment required at Application stage for all major developments to consider whether contributions are required. </t>
  </si>
  <si>
    <t>Toddbrook Local Facilities</t>
  </si>
  <si>
    <t>Toddbrook Local Sports &amp; Leisure Facilities, including:
a) Barn Mead Playing Field;
b) new measured running / walking routes in existing open spaces:
c) improved bicycle access and parking.</t>
  </si>
  <si>
    <t>As identified in the HDC Sports and Playing Pitch Strategy:
a) £0.318m;
b) to be assessed;
c) to be assessed.</t>
  </si>
  <si>
    <t>Little Parndon and Hare Street Local Facilities</t>
  </si>
  <si>
    <t>Little Parndon and Hare Street Local Sports &amp; Leisure Facilities, including:
a) Collins Meadow Field;
b) Northbrook Sports Ground;
c) new measured running / walking routes in existing open spaces;
d) improved bicycle access and parking.</t>
  </si>
  <si>
    <t>As identified in the HDC Sports and Playing Pitch Strategy:
a) £0.2075m;
b) £0.3935m;
c) to be assessed;
d) to be assessed.</t>
  </si>
  <si>
    <t>Mark Hall Local Facilities</t>
  </si>
  <si>
    <t>Mark Hall Local Sports &amp; Leisure Facilities, including:
a) Ladyshot Sports Ground;
b) new measured running / walking routes in existing open spaces;
c) improved bicycle access and parking.</t>
  </si>
  <si>
    <t>As identified in the HDC Sports and Playing Pitch Strategy:
a) £0.16m;
b) to be assessed;
c) to be assessed.</t>
  </si>
  <si>
    <t>Bush Fair Local Facilities</t>
  </si>
  <si>
    <t>Bush Fair Local Sports &amp; Leisure Facilities, including:
a) Bush Fair Park;
b) Church Leys Playing Field;
c) Nicholls Field;
d) Tye Green Cricket Club;
e) new measured running / walking routes in existing open spaces;
f) improved bicycle access and parking.</t>
  </si>
  <si>
    <t>As identified in the HDC Sports and Playing Pitch Strategy:
a) £0.2855m;
b) £0.019m;
c) £1.024m;
d) £0.74175m;
e) to be assessed;
f) to be assessed.</t>
  </si>
  <si>
    <t>Staple Tye Local Facilities</t>
  </si>
  <si>
    <t>Staple Tye Local Sports &amp; Leisure Facilities, including:
a) Goldings Playing Field;
b) Paddock Mead Playing Field;
c) Tithelands Playing Field;
d) new measured running / walking routes in existing open spaces;
e) improved bicycle access and parking.</t>
  </si>
  <si>
    <t>As identified in the HDC Sports and Playing Pitch Strategy:
a) £0.245m;
b) £0.165m;
c) £0.645m;
d) to be assessed;
e) to be assessed.</t>
  </si>
  <si>
    <t>Great Parndon Local Facilities</t>
  </si>
  <si>
    <t>Great Parndon Local Sports &amp; Leisure Facilities, including:
a) Rectory Field;
b) Great Parndon Sports &amp; Activity Centre;
c) Water Lane;
d) new measured running / walking routes in existing open spaces;
e) improved bicycle access and parking.</t>
  </si>
  <si>
    <t>As identified in the HDC Sports and Playing Pitch Strategy:
a) £0.1225m;
b) to be assessed.
c) £0.245m;
c) to be assessed;
d) to be assessed.</t>
  </si>
  <si>
    <t>Old Harlow Local Facilities</t>
  </si>
  <si>
    <t>Old Harlow Local Sports &amp; Leisure Facilities, including:
a) Gilden Way Playing Field;
b) new measured running / walking routes in existing open spaces;
c) improved bicycle access and parking.</t>
  </si>
  <si>
    <t>As identified in the HDC Sports and Playing Pitch Strategy:
a) £0.7305m;
b) to be assessed;
c) to be assessed.</t>
  </si>
  <si>
    <t>Church Langley Local Facilities</t>
  </si>
  <si>
    <t>Church Langley Local Sports &amp; Leisure Facilities, including:
a) Church Langley Country Park;
b) new measured running / walking routes in existing open spaces;
c) improved bicycle access and parking.</t>
  </si>
  <si>
    <t>As identified in the HDC Sports and Playing Pitch Strategy:
a) £0.361m;
b) to be assessed;
c) to be assessed.</t>
  </si>
  <si>
    <t>Harlow Common Local Facilities</t>
  </si>
  <si>
    <t>There are currently no community sports facilities or pitches in Harlow Common. Residents needs to be met through facilities and pitches within neighbouring wards of Church Langley, Bush Fair and Staple Tye unless opportunities arise to provide new facilities or pitches.</t>
  </si>
  <si>
    <t>Sumners and Kingsmoor Local Facilities</t>
  </si>
  <si>
    <t>Sumners and Kingsmoor Local Sports &amp; Leisure Facilities, including:
a) Burnett Park;
b) Fairways Sports &amp; Social Club;
c) The Link Social Club;
d) Paringdon Sports Club;
e) new measured running / walking routes in existing open spaces;
f) improved bicycle access and parking.</t>
  </si>
  <si>
    <t>As identified in the HDC Sports and Playing Pitch Strategy:
a) to be assesses;
b) to be assessed;
c) to be assessed;
d) to be assessed;
e) to be assessed;
f) to be assessed.</t>
  </si>
  <si>
    <t>Water and Waste Water</t>
  </si>
  <si>
    <t>UT1</t>
  </si>
  <si>
    <t>W_1</t>
  </si>
  <si>
    <t>Network reinforcement works to provide potable water</t>
  </si>
  <si>
    <t>Affinity Water</t>
  </si>
  <si>
    <t>Providers / Developers (Charge)</t>
  </si>
  <si>
    <t>N/A (strategic upgrades met by providers; on site connections part of normal development costs)</t>
  </si>
  <si>
    <t>Various - by phasing of sites</t>
  </si>
  <si>
    <t xml:space="preserve">Network reinforcements expected to be funded as a combination of the provider and developers via a connection and infrastructure charge (part of normal development cost). Additional contributions beyond this are not envisioned and so have not been apportioned. </t>
  </si>
  <si>
    <t>Provider consultation, investment plans, GIF, Water Cycle Study</t>
  </si>
  <si>
    <t>Level 2</t>
  </si>
  <si>
    <t>Charge</t>
  </si>
  <si>
    <t>UT2</t>
  </si>
  <si>
    <t>LPR1</t>
  </si>
  <si>
    <t>Early implementation of waste water network upgrades at Latton Priory</t>
  </si>
  <si>
    <t>Thames Water</t>
  </si>
  <si>
    <t>2018-2021</t>
  </si>
  <si>
    <t>Thames Water settlement assessment (2016), Water Cycle Study</t>
  </si>
  <si>
    <t>Electricity</t>
  </si>
  <si>
    <t>UT3</t>
  </si>
  <si>
    <t>EL_1</t>
  </si>
  <si>
    <t>New Harlow 33/11kV Primary sub-station</t>
  </si>
  <si>
    <t>UKPN / Developers</t>
  </si>
  <si>
    <t>Provider consultation, investment plans, GIF</t>
  </si>
  <si>
    <t>UT4</t>
  </si>
  <si>
    <t>EL_2</t>
  </si>
  <si>
    <t>South Harlow 33/11kV Primary sub-station and 11kV interconnection</t>
  </si>
  <si>
    <t>UT5</t>
  </si>
  <si>
    <t>EL_3</t>
  </si>
  <si>
    <t>Rye House/Harlow West 132kV Tower Line</t>
  </si>
  <si>
    <t>UT6</t>
  </si>
  <si>
    <t>EL_4</t>
  </si>
  <si>
    <t>Replacement of 33kV switchgear at Harlow West substation</t>
  </si>
  <si>
    <t>UT7</t>
  </si>
  <si>
    <t>WLA2</t>
  </si>
  <si>
    <t>33kV overhead lines may require diverting for masterplanning of Water Lane Area</t>
  </si>
  <si>
    <t>Site dependent</t>
  </si>
  <si>
    <t>2023-2035  (sub-phasing dependent)</t>
  </si>
  <si>
    <t>Overhead lines will require an easement along them, which may affect the masterplanning of the site. Potential to divert these to optimise the site.</t>
  </si>
  <si>
    <t>UKPN network maps</t>
  </si>
  <si>
    <t>UT8</t>
  </si>
  <si>
    <t>New primary substation to serve Gilston</t>
  </si>
  <si>
    <t>Utility Provider</t>
  </si>
  <si>
    <t>Providers / Developer (Contribution / Charge)</t>
  </si>
  <si>
    <t xml:space="preserve">Abnormal cost reflected in land value - refer to Harlow and Gilston Garden Town Strategic Viability Assessment
</t>
  </si>
  <si>
    <t>Expectation that development will meet the full cost of new substation at Gilston.</t>
  </si>
  <si>
    <t>Gas</t>
  </si>
  <si>
    <t>UT9</t>
  </si>
  <si>
    <t>Gas infrastructure to enable growth</t>
  </si>
  <si>
    <t>Providers / Developers</t>
  </si>
  <si>
    <t>Position taken from district-level IDPs</t>
  </si>
  <si>
    <t>UT10</t>
  </si>
  <si>
    <t>EHA2</t>
  </si>
  <si>
    <t>Potential diversion of mains gas at East Harlow</t>
  </si>
  <si>
    <t>Cadent Gas</t>
  </si>
  <si>
    <t>UKPN / Developer agreement</t>
  </si>
  <si>
    <t>Masterplan dependent</t>
  </si>
  <si>
    <t>2022-2030 (sub-phasing dependent)</t>
  </si>
  <si>
    <t>Potential diversion of gas mains. Alternative is to retain in position and design the site around an easement along the pipes. The potential easement / diversion will be dependent on the type of main - the options for these sites should be considered on a site-by site basis, in consultation with Cadent Gas.</t>
  </si>
  <si>
    <t>Engagement with EFDC</t>
  </si>
  <si>
    <t>Telecommunications</t>
  </si>
  <si>
    <t>UT11</t>
  </si>
  <si>
    <t>Telecommunications infrastructure to enable growth</t>
  </si>
  <si>
    <t>The additional demand of these developments would require some reinforcement of the water supply network, although no significant constraints to the provision of this infrastructure have been identified.</t>
  </si>
  <si>
    <t>UT12</t>
  </si>
  <si>
    <t>Measures to support implementation of the Garden Town Digital Strategy</t>
  </si>
  <si>
    <t>A wider Garden Town Digital Strategy is being prepared; exact interventions still to be confirmed.</t>
  </si>
  <si>
    <t>UT13</t>
  </si>
  <si>
    <t>Ongoing broadband and communication upgrades, as required by technological change</t>
  </si>
  <si>
    <t>Providers</t>
  </si>
  <si>
    <t>N/A (met by providers)</t>
  </si>
  <si>
    <t>Waste</t>
  </si>
  <si>
    <t>UT14</t>
  </si>
  <si>
    <t>Household Waste Recycling Centre to serve Gilston</t>
  </si>
  <si>
    <t>Developers / Grant</t>
  </si>
  <si>
    <t xml:space="preserve">Hertfordshire County Council - based on anticipated Gilston use </t>
  </si>
  <si>
    <t xml:space="preserve">HCC's current position - specific proposals will be developed. Costs indexed by Hertfordshire County Council using September 2018 RPI. </t>
  </si>
  <si>
    <t>East Herts IDP / East Herts Village 1-6 site requirement note / East Herts Village 7 site requirement note
Consultation with Hertfordshire County Council</t>
  </si>
  <si>
    <t>On site and contributions</t>
  </si>
  <si>
    <t>UT15</t>
  </si>
  <si>
    <t>Increased household waste recycling capacity and / or facility upgrades in order to serve additional demand in Essex</t>
  </si>
  <si>
    <t>Housing growth is anticipated to generate additional waste into the Harlow Recycling Centre for Household Waste (RCHW) of c.3500-4000 tpa; an uplift on the current throughput of between 26%-30%. To accommodate waste input increases of this nature it will be necessary to redesign the existing site to provide greater waste handling capacity, improved traffic flows, more on site queuing and to provide a service operation which reduces onsite unloading time thereby improving capacity.  Based on similar site redesign and upgrades within Essex it would be anticipated that the capital cost of delivering such an upgrade at the Harlow RCHW would be in the region of £160-200k.</t>
  </si>
  <si>
    <t>On site and/or contributions</t>
  </si>
  <si>
    <t>Estimated Funding Gap before Contributions</t>
  </si>
  <si>
    <t>Utilities Infrastructure / Services</t>
  </si>
  <si>
    <t>S7</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</si>
  <si>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Utilities this should include:
- certain new utilities infrastructure where within public spaces where not adopted;
- any local heating networks or sustainable energy generation.</t>
    </r>
  </si>
  <si>
    <t>WATER CYCLE</t>
  </si>
  <si>
    <r>
      <t xml:space="preserve">UT1
</t>
    </r>
    <r>
      <rPr>
        <sz val="11"/>
        <rFont val="Gill Sans MT"/>
        <family val="2"/>
      </rPr>
      <t>(UT1)</t>
    </r>
  </si>
  <si>
    <t>Potable (drinking) Water infrastructure, including:
- network reinforcement works;
- new network connections;
- water use efficiency;
- water recycling measures.</t>
  </si>
  <si>
    <t>See IDP Evidence, Appendix 8 - Utilities Infrastructure</t>
  </si>
  <si>
    <t>Affinity Water / Developer(s)</t>
  </si>
  <si>
    <t>Potable Water network reinforcement works are generally required to be undertaken by Water providers in accordance with their respective Water Resource Management Plans. New connections to serve new developments and on-site measures to ensure water efficiency including water recycling to be provided by developers.</t>
  </si>
  <si>
    <t>New connections, water efficiency and water recycling measures to be agreed at Masterplan or Application stage.</t>
  </si>
  <si>
    <t>No specific works identified for Phasing however delivery will be required to support each new development to ensure adequate provision prior to occupation.</t>
  </si>
  <si>
    <t>Waste Water infrastructure, including:
- wastewater drainage infrastructure and system separation (waste from surface water);
- increased / enhanced wastewater treatment provision.</t>
  </si>
  <si>
    <t>Thames Water / Developer(s)</t>
  </si>
  <si>
    <t>Waste Water network reinforcement works are generally required to be undertaken by Waste Water companies in accordance with their respective Business Plans. New connections to serve new developments and on-site measures to manage waste water to be provided by developers.</t>
  </si>
  <si>
    <t>New connections and drainage to be agreed at Masterplan or Application stage.</t>
  </si>
  <si>
    <r>
      <t xml:space="preserve">UT3
</t>
    </r>
    <r>
      <rPr>
        <sz val="11"/>
        <rFont val="Gill Sans MT"/>
        <family val="2"/>
      </rPr>
      <t>(new)</t>
    </r>
  </si>
  <si>
    <t>Surface Water drainage and treatment infrastructure, including:
- On-site Sustainable Drainage Systems (SuDS);
- Off-site network enhancements;
- See also Open Space Infrastructure.</t>
  </si>
  <si>
    <t>Surface Water network reinforcement works are generally required to be undertaken by Waste Water companies in accordance with their respective Business Plans. New connections to serve new developments and on-site measures to manage waste water including on-site SuDs to be provided by developers.</t>
  </si>
  <si>
    <t>New connections and SuDS to be agreed at Masterplan or Application stage.</t>
  </si>
  <si>
    <t>ELECTRICITY</t>
  </si>
  <si>
    <r>
      <t xml:space="preserve">UT4
</t>
    </r>
    <r>
      <rPr>
        <sz val="11"/>
        <rFont val="Gill Sans MT"/>
        <family val="2"/>
      </rPr>
      <t>(UT3, UT4, UT5, UT6 &amp; UT8)</t>
    </r>
  </si>
  <si>
    <t>New / enhanced Electricity Network and Sub-Station infrastructure works, including:
(a) Harlow area 33/11kV Primary sub-station;
(b) Harlow North Primary sub-station;
(c) Harlow South  33/11kV Primary sub-station and 11kV interconnection;
(d) Harlow West / Rye House 132kV Tower Line;
(e) Harlow West replacement of 33kV sub-station switchgear;
(f) Power connections for new Hospital &amp; Health Campus.</t>
  </si>
  <si>
    <t>UKPN / Developer(s)</t>
  </si>
  <si>
    <t>Network reinforcements expected to be funded as a combination of the provider and developers via a connection and infrastructure charge (part of normal development cost).</t>
  </si>
  <si>
    <t>Estimated costs include:
(a) c.£900,000 (HGGT IDP, 2019);
(b) c. £29,000,000 (HGGT IDP, 2019);
(c) c.£1,100,000 (HGGT IDP, 2019);
(d) c.5,400,000 (HGGT IDP, 2019);
(e) c.£1,400,000 (HGGT IDP, 2019);
(f) c.£16,000,000 + on-costs (estimate by PAH Trust).</t>
  </si>
  <si>
    <t>Potential contributions subject to agreement with UKPN.</t>
  </si>
  <si>
    <t>Network reinforcements expected to be funded as a combination of the provider and developer(s) via a connection and infrastructure charge (part of normal development cost). No funding gap is anticipated.</t>
  </si>
  <si>
    <t>Phasing of works currently unknown however delivery will be required to support each new development to ensure adequate provision prior to occupation.</t>
  </si>
  <si>
    <r>
      <t xml:space="preserve">UT5
</t>
    </r>
    <r>
      <rPr>
        <sz val="11"/>
        <rFont val="Gill Sans MT"/>
        <family val="2"/>
      </rPr>
      <t>(UT7)</t>
    </r>
  </si>
  <si>
    <t xml:space="preserve">Diversions of Electricity Network infrastructure, including:
(a) Water Lane area potential diversion of 33kV overhead lines;
</t>
  </si>
  <si>
    <t>Potential need for diversion of Overhead Electricity lines in order to deliver Water Lane new garden community.</t>
  </si>
  <si>
    <t>Water Lane area Overhead Line diversion works subject to need to be agreed at Masterplan and Application stage.</t>
  </si>
  <si>
    <t>Potential need for diversion of Overhead Electricity lines in order to deliver Water Lane new garden community. Cost would be responsibility of Developer(s) subject to agreement with UKPN.</t>
  </si>
  <si>
    <t>Need for / Phasing of potential diversion works currently unknown.</t>
  </si>
  <si>
    <r>
      <t xml:space="preserve">UT6
</t>
    </r>
    <r>
      <rPr>
        <sz val="11"/>
        <rFont val="Gill Sans MT"/>
        <family val="2"/>
      </rPr>
      <t>(new)</t>
    </r>
  </si>
  <si>
    <t xml:space="preserve">On-site Electricity infrastructure, including:
- new development connections and on-site sub-stations;
- on-site renewable energy i.e. Solar PV;
- on-site electric vehicle charging.
</t>
  </si>
  <si>
    <t>Developer(s) / specialist provider(s)</t>
  </si>
  <si>
    <t>New Electricity connections to serve new developments and on-site measures to generate electricity and electric vehicle charging to meet carbon reduction and climate change objectives to be provided by developers.</t>
  </si>
  <si>
    <t>New connections and on-site provisions to be agreed at Masterplan or Application stage.</t>
  </si>
  <si>
    <t>No specific works identified for Phasing however delivery will be required to support each new development to ensure adequate provisions for occupations.</t>
  </si>
  <si>
    <t>HEATING</t>
  </si>
  <si>
    <r>
      <t xml:space="preserve">UT7
</t>
    </r>
    <r>
      <rPr>
        <sz val="11"/>
        <rFont val="Gill Sans MT"/>
        <family val="2"/>
      </rPr>
      <t>(UT9)</t>
    </r>
  </si>
  <si>
    <t>District Heating / Gas infrastructure, including:
- network reinforcement works.</t>
  </si>
  <si>
    <t>Cadent Gas / District Energy Provider(s) / Developer(s)</t>
  </si>
  <si>
    <t xml:space="preserve">Network reinforcements expected to be funded as a combination of the provider and developers via a connection and infrastructure charge (part of normal development cost). </t>
  </si>
  <si>
    <t>Space and Water Heating provisions to be agreed at Masterplan or Application stage.</t>
  </si>
  <si>
    <r>
      <t xml:space="preserve">UT8
</t>
    </r>
    <r>
      <rPr>
        <sz val="11"/>
        <rFont val="Gill Sans MT"/>
        <family val="2"/>
      </rPr>
      <t>(UT10)</t>
    </r>
  </si>
  <si>
    <t>Diversions of Gas Network infrastructure, including:
(a) potential diversion of mains gas at East of Harlow new garden community;
(b) gas mains diversion at new hospital &amp; health campus.</t>
  </si>
  <si>
    <t>Cadent Gas / Developer(s)</t>
  </si>
  <si>
    <t>Potential need for diversion of Gas mains in order to deliver East of Harlow new garden community and the new Hospital &amp; Health Campus.</t>
  </si>
  <si>
    <t>Estimated costs include:
(a) unknown;
(b) c.£6,700,000 + on-costs (estimate by PAH Trust).</t>
  </si>
  <si>
    <r>
      <rPr>
        <b/>
        <sz val="11"/>
        <rFont val="Gill Sans MT"/>
        <family val="2"/>
      </rPr>
      <t xml:space="preserve">YES: </t>
    </r>
    <r>
      <rPr>
        <sz val="11"/>
        <rFont val="Gill Sans MT"/>
        <family val="2"/>
      </rPr>
      <t>Cost of works to be agreed may change to be advised (or as otherwise updated).</t>
    </r>
  </si>
  <si>
    <t>East of Harlow Gas Mains diversion works subject to need to be agreed at Masterplan and Application stage.</t>
  </si>
  <si>
    <t>Potential need for diversion of Gas Mains in order to deliver East of Harlow new garden community. Cost would be responsibility of Developer(s) subject to agreement with Cadent Gas.</t>
  </si>
  <si>
    <r>
      <t xml:space="preserve">UT9
</t>
    </r>
    <r>
      <rPr>
        <sz val="11"/>
        <rFont val="Gill Sans MT"/>
        <family val="2"/>
      </rPr>
      <t>(new)</t>
    </r>
  </si>
  <si>
    <t>On-site Space Heating &amp; Water Heating infrastructure, including:
- new development connections to existing gas or district heating network;
- on-site renewable heating i.e. Solar or Heat Pumps;
- measures to support efficiency.</t>
  </si>
  <si>
    <t>New Gas connections to serve new developments and on-site measures to generate space and water heating to meet carbon reduction and climate change objectives to be provided by developers.</t>
  </si>
  <si>
    <t>TELECOMMUNICATIONS</t>
  </si>
  <si>
    <r>
      <t xml:space="preserve">UT10
</t>
    </r>
    <r>
      <rPr>
        <sz val="11"/>
        <rFont val="Gill Sans MT"/>
        <family val="2"/>
      </rPr>
      <t>(UT11 &amp; UT13)</t>
    </r>
  </si>
  <si>
    <t>Telecommunications infrastructure, including:
- broadband;
- 4G and 5G network.</t>
  </si>
  <si>
    <t>Provider(s) / Developer(s)</t>
  </si>
  <si>
    <t>Telecommunications expected to be funded as a combination of the provider(s) and developer(s) via a connection and infrastructure charge (part of normal development cost).</t>
  </si>
  <si>
    <t>New broadband and other telecommunications infrastructure to be agreed at Masterplan or Application stage.</t>
  </si>
  <si>
    <t xml:space="preserve">Telecommications expected to be funded as a combination of the provider(s) and developer(s) via a connection and infrastructure charge (part of normal development cost). Additional contributions beyond this are not envisioned and so have not been apportioned. </t>
  </si>
  <si>
    <r>
      <t xml:space="preserve">UT11
</t>
    </r>
    <r>
      <rPr>
        <sz val="11"/>
        <rFont val="Gill Sans MT"/>
        <family val="2"/>
      </rPr>
      <t>(UT12)</t>
    </r>
  </si>
  <si>
    <t>Future Digital needs, including:
- Measures utilising telecommunications to support future monitoring / provision of services across the Garden Town area.</t>
  </si>
  <si>
    <t>Measures to be agreed at Masterplan or Application stage.</t>
  </si>
  <si>
    <t>No specific works identified for Phasing at this time.</t>
  </si>
  <si>
    <t>HOUSEHOLD RECYCLING &amp; WASTE</t>
  </si>
  <si>
    <r>
      <t xml:space="preserve">UT12
</t>
    </r>
    <r>
      <rPr>
        <sz val="11"/>
        <rFont val="Gill Sans MT"/>
        <family val="2"/>
      </rPr>
      <t>(UT14 &amp; UT15)</t>
    </r>
  </si>
  <si>
    <t>Household Recycling and Waste facilities / services, including:
(a) potential new/enhanced joint HGGT facility; OR
(b) new/enhanced facility to serve Gilston Area residents in Hertfordshire; and
(c) new/enhanced facility to serve wider Garden Town residents in Essex.</t>
  </si>
  <si>
    <t>Additional Household Waste and Recycling Capacity will be required to meet the expanded population of the Garden Town area. HWRC are managed by ECC and HCC.</t>
  </si>
  <si>
    <r>
      <rPr>
        <b/>
        <sz val="11"/>
        <rFont val="Gill Sans MT"/>
        <family val="2"/>
      </rPr>
      <t>YES:</t>
    </r>
    <r>
      <rPr>
        <sz val="11"/>
        <rFont val="Gill Sans MT"/>
        <family val="2"/>
      </rPr>
      <t xml:space="preserve"> HCC Cost to be index linked from Q1 2021 using the BCIS Price Index (or as otherwise updated).</t>
    </r>
  </si>
  <si>
    <t>HCC: Gilston Villages 1-6 and Village 7 Heads of Terms set out costs as follows:
Village 1-6 to secure £1,400,000 towards the household waste recycling facility
Village 7 to secure £249,310 towards the household waste recycling facility</t>
  </si>
  <si>
    <r>
      <rPr>
        <b/>
        <sz val="11"/>
        <rFont val="Gill Sans MT"/>
        <family val="2"/>
      </rPr>
      <t>YES:</t>
    </r>
    <r>
      <rPr>
        <sz val="11"/>
        <rFont val="Gill Sans MT"/>
        <family val="2"/>
      </rPr>
      <t xml:space="preserve"> HCC Contributions to be index linked from Q1 2021 using the BCIS Price Index (or as otherwise updated).</t>
    </r>
  </si>
  <si>
    <t>Contributions may be sought subject to assessment by ECC</t>
  </si>
  <si>
    <r>
      <rPr>
        <b/>
        <sz val="11"/>
        <rFont val="Gill Sans MT"/>
        <family val="2"/>
      </rPr>
      <t xml:space="preserve">YES: </t>
    </r>
    <r>
      <rPr>
        <sz val="11"/>
        <rFont val="Gill Sans MT"/>
        <family val="2"/>
      </rPr>
      <t>Cost to be index linked from 2021 using the Price Index to be advised (or as otherwise updated).</t>
    </r>
  </si>
  <si>
    <t>Phasing of Household Recycling and Waste facilities and services currently unknown</t>
  </si>
  <si>
    <t>CONSTRUCTION</t>
  </si>
  <si>
    <r>
      <t xml:space="preserve">UT13
</t>
    </r>
    <r>
      <rPr>
        <sz val="11"/>
        <rFont val="Gill Sans MT"/>
        <family val="2"/>
      </rPr>
      <t>(new)</t>
    </r>
  </si>
  <si>
    <t>Temporary infrastructure / services to support construction activities.</t>
  </si>
  <si>
    <t>In order to effectively and efficiently support the scale of planned construction works across the Garden Town area co-ordination may be required / advantageous to support delivery, maximise productivity and local benefits and minimise impacts.</t>
  </si>
  <si>
    <t>measures to be agreed at Masterplan / Application stage</t>
  </si>
  <si>
    <t>Details and phasing of delivery to be defined</t>
  </si>
  <si>
    <t>FL1</t>
  </si>
  <si>
    <t>EH3</t>
  </si>
  <si>
    <t>Measures to ensure the protection of the functional flood plain and restriction of surface water run-off into Pincey Brook to no more than existing rates</t>
  </si>
  <si>
    <t>Environment Agency / EFDC / ECC / Developers</t>
  </si>
  <si>
    <t>Developer Funded</t>
  </si>
  <si>
    <t>Flood protection should be considered as part of strategic masterplanning to ensure development is directed towards flood zone 1, and any necessary mitigation measures are incorporated into the design of the scheme. Further consultation will be required with the Environment Agency and EFDC Drainage Team. Exact solution will depend on final decision on relocation of Princess Alexandra Hospital.</t>
  </si>
  <si>
    <t>Consultation with Epping Forest District Council</t>
  </si>
  <si>
    <t>FL2</t>
  </si>
  <si>
    <t>FL_1</t>
  </si>
  <si>
    <t>Strategic surface water flood risk interventions: West Passmores swale and upstream attenuation and flood resilience; Harlow Brays Grove sustainable drainage; Harlow Kingsmoor sustainable drainage; and Sumners Area river flood alleviation scheme</t>
  </si>
  <si>
    <t>Environment Agency / Developers</t>
  </si>
  <si>
    <t xml:space="preserve">Environment Agency / Developer Contribution </t>
  </si>
  <si>
    <t>Harlow DC IDP (2018)</t>
  </si>
  <si>
    <t>Essex LLFA Floods Team has confirmed that only one scheme (Harlow Kingsmoor) is directly related to a development. The remainder of the funding is expected to be available from other sources e.g. Environment Agency. Tests 100% of Harlow Kingsmoor met through developer contributions - in reality this may not be the case</t>
  </si>
  <si>
    <t>2028-2033</t>
  </si>
  <si>
    <t>FL3</t>
  </si>
  <si>
    <t>On-site SuDS delivered as part of developments</t>
  </si>
  <si>
    <t>N/A (part of normal development costs)</t>
  </si>
  <si>
    <t>2018+</t>
  </si>
  <si>
    <t>Consultation with Harlow District Council, Epping Forest District Council and East Herts District Council</t>
  </si>
  <si>
    <t>Flood Defence Infrastructure / Services</t>
  </si>
  <si>
    <t>S8</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</si>
  <si>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flood defence this should include:
- all new SuDS and associated spaces.</t>
    </r>
  </si>
  <si>
    <t>Strategic Surface Water and Flood Risk interventions, including:
(a) West Passmores swale and upstream attenuation and flood resilience scheme;
(b) Harlow Brays Grove sustainable drainage scheme;
(c) Harlow Kingsmoor sustainable drainage scheme;
(d) Sumners Area river flood alleviation scheme;
(e) measures to ensure the protection of the functional flood plain and restriction of surface water run-off into Pincey Brook to no more than existing rates.</t>
  </si>
  <si>
    <t>See IDP Evidence, Appendix 9 - Flood Defence infrastructure</t>
  </si>
  <si>
    <t>Environment Agency / Developer(s)</t>
  </si>
  <si>
    <t>Flood Defence schemes identified in the HDC IDP (2018).</t>
  </si>
  <si>
    <t>Flood Defence scheme costs identified in the HDC IDP (2018).</t>
  </si>
  <si>
    <t>£341,482 funding secured from Developer Contributions for (c) Harlow Kingsmoor;
Additional funding anticipated to be available from the Environment Agency.</t>
  </si>
  <si>
    <t>Contributions may be necessary toward Pincey Brook scheme</t>
  </si>
  <si>
    <t>Essex LLFA Floods Team considers that only one scheme ((c) Harlow Kingsmoor) is directly related to currently allocated development for which developer contributions have been secured.</t>
  </si>
  <si>
    <t>Funding anticipated to be available from the Environment Agency.</t>
  </si>
  <si>
    <t>Phasing for delivery of flood defence schemes currently unknown</t>
  </si>
  <si>
    <r>
      <t xml:space="preserve">FL2
</t>
    </r>
    <r>
      <rPr>
        <sz val="11"/>
        <rFont val="Gill Sans MT"/>
        <family val="2"/>
      </rPr>
      <t>(FL3)</t>
    </r>
  </si>
  <si>
    <t>On-site Sustainable Drainage Systems (SuDS) serving each new village / neighbourhood or new development and associated infrastructure to meet surface water needs and mitigate flood risk and climate change.</t>
  </si>
  <si>
    <t>On-site SuDS design to be agreed at Masterplan / Application stage and delivered by Developer(s)</t>
  </si>
  <si>
    <t>On-site SuDS design to be agreed at Application stage and delivered by Developer(s)</t>
  </si>
  <si>
    <t>Sustainable Drainage Systems (SuDS), Green Infrastructure, Natural Flood Management and Flood Alleviation schemes in Critical Drainage Areas where impacted by development, including:
(a) Old Harlow drainage area;
(b) Kingsmoor drainage area;
(c) Stewards drainage area;
(d) Latton Bush drainage area;
(e) Brays Grove drainage area;
(f) Sumners drainage area;
(g) River Mill drainage area.</t>
  </si>
  <si>
    <t>Developer(s) / ECC Lead Local Flood Authority / Environment Agency</t>
  </si>
  <si>
    <t>ECC Surface Water Management Plan (2021)</t>
  </si>
  <si>
    <t>ECC Surface Water Management Plan (2021) estimates cost of:
(a) £420,000 - £1,100,000;
(b) £220,000 - £500,000;
(c) £220,000 - £500,000;
(d) £410,000 - £1,000,000;
(e) £420,000 - £1,100,000;
(f) £410,000 - £1,000,000;
(g) £220,000 - £500,000.
Mid-point used to estimate total cost.</t>
  </si>
  <si>
    <r>
      <rPr>
        <b/>
        <sz val="11"/>
        <rFont val="Gill Sans MT"/>
        <family val="2"/>
      </rPr>
      <t xml:space="preserve">YES: </t>
    </r>
    <r>
      <rPr>
        <sz val="11"/>
        <rFont val="Gill Sans MT"/>
        <family val="2"/>
      </rPr>
      <t>Cost to be index linked from Q3 2021 using Price Index to be advised (or as otherwise updated).</t>
    </r>
  </si>
  <si>
    <t>ECC LLFA consider there is potential for additional funding from NFM, ECC Green Infrastructure and FDGA grants for (b) Kingsmoor, (c) Stewards, (d) Latton Bush and (e) Brays Grove, funding availability currently unknown.</t>
  </si>
  <si>
    <r>
      <t xml:space="preserve">ECC LLFA apportionment:
(a) East of Harlow;
(b) Latton Priory &amp; Water Lane (50%);
(c) Latton Priory (50%); 
(d) Latton Priory (50%);
(e) Latton Priory (50%); 
(f) Water Lane;
(g) Existing PAH redevelopment.
(50% assumption made where other funding </t>
    </r>
    <r>
      <rPr>
        <u/>
        <sz val="11"/>
        <rFont val="Gill Sans MT"/>
        <family val="2"/>
      </rPr>
      <t xml:space="preserve">may </t>
    </r>
    <r>
      <rPr>
        <sz val="11"/>
        <rFont val="Gill Sans MT"/>
        <family val="2"/>
      </rPr>
      <t>be available, actual contribution may be higher subject to final scheme design and external funding.</t>
    </r>
  </si>
  <si>
    <t>Contributions may be necessary</t>
  </si>
  <si>
    <t>TOTAL CURRENT IDENTIFIED FUNDING</t>
  </si>
  <si>
    <t>SP 5.3 East of Harlow (North) EFDC</t>
  </si>
  <si>
    <t>East of Harlow (South) HDC</t>
  </si>
  <si>
    <t>SP 5.1 Latton Priory</t>
  </si>
  <si>
    <t>SP 5.2 Water Lane Area</t>
  </si>
  <si>
    <t>Gilston (village 1-6)</t>
  </si>
  <si>
    <t>Gilston (village 7)</t>
  </si>
  <si>
    <t>Town Centre Masterplan Framework Area</t>
  </si>
  <si>
    <t>Town Centre OA2 Masterplan Framework Proposals</t>
  </si>
  <si>
    <t>Town Centre OA3 Masterplan Framework Proposals</t>
  </si>
  <si>
    <t>Town Centre OA4 Masterplan Framework Proposals</t>
  </si>
  <si>
    <t>Town Centre OA5 Masterplan Framework Proposals</t>
  </si>
  <si>
    <t>Town Centre RC1 Masterplan Framework Proposals</t>
  </si>
  <si>
    <t>Town Centre EC1 Masterplan Framework Proposals</t>
  </si>
  <si>
    <t>Lister House, Staple Tye Mews, Staple Tye Depot and</t>
  </si>
  <si>
    <t>Pollard Hatch plus garages and adjacent land</t>
  </si>
  <si>
    <t>Coppice Hatch and garages</t>
  </si>
  <si>
    <t>Elm Hatch and public house</t>
  </si>
  <si>
    <t>Slacksbury Hatch and associated garages</t>
  </si>
  <si>
    <t>Garage blocks adjacent to Nicholls Tower</t>
  </si>
  <si>
    <t>2022/2023</t>
  </si>
  <si>
    <t>2020/2021</t>
  </si>
  <si>
    <t>2021/2022</t>
  </si>
  <si>
    <t>2028/2029</t>
  </si>
  <si>
    <t>2019/2020</t>
  </si>
  <si>
    <t>2023/2024</t>
  </si>
  <si>
    <t>2029/2030</t>
  </si>
  <si>
    <t>2024/2025</t>
  </si>
  <si>
    <t>2031/2032</t>
  </si>
  <si>
    <t>2031/32</t>
  </si>
  <si>
    <t>3030/2031</t>
  </si>
  <si>
    <t>Harlow Non-Strategic Sites</t>
  </si>
  <si>
    <t>Strategic Sites</t>
  </si>
  <si>
    <t>Strategic Sites plus PAH</t>
  </si>
  <si>
    <t>Strategic Sites plus TC &amp; PAH</t>
  </si>
  <si>
    <t>Gilston</t>
  </si>
  <si>
    <t>Strategic Sites plus PAH minus Gilston</t>
  </si>
  <si>
    <t>Largest Harlow minus PAH (no Town Centre)</t>
  </si>
  <si>
    <t>Harlow minus EH and PAH and Town Centre</t>
  </si>
  <si>
    <t>Largest Harlow (minus Town Centre)</t>
  </si>
  <si>
    <t>Latton and Water Lane</t>
  </si>
  <si>
    <t>All SS and Harlow above 25</t>
  </si>
  <si>
    <t>All Harlow above 20 (no Town Centre)</t>
  </si>
  <si>
    <t>All Epping</t>
  </si>
  <si>
    <t xml:space="preserve">All Harlow above 20 </t>
  </si>
  <si>
    <t>All Harlow above 20 + TC</t>
  </si>
  <si>
    <t>ALL</t>
  </si>
  <si>
    <t>East Harlow combined</t>
  </si>
  <si>
    <t>All Town Centre</t>
  </si>
  <si>
    <t>WARDS</t>
  </si>
  <si>
    <t>Old Harlow</t>
  </si>
  <si>
    <t>Little Parndon</t>
  </si>
  <si>
    <t>Todd Brook</t>
  </si>
  <si>
    <t>Bush Fair</t>
  </si>
  <si>
    <t>Sumners and Kingsmoor</t>
  </si>
  <si>
    <t>N/A - no sites</t>
  </si>
  <si>
    <t>Church Langley</t>
  </si>
  <si>
    <t>Harlow Common</t>
  </si>
  <si>
    <t>LOCAL AREAS</t>
  </si>
  <si>
    <t>Netteswell</t>
  </si>
  <si>
    <t>Great Pardon</t>
  </si>
  <si>
    <t>LCWIP route 2</t>
  </si>
  <si>
    <t>LCWIP route 5</t>
  </si>
  <si>
    <t>LCWIP route 6</t>
  </si>
  <si>
    <t>LCWIP route 7</t>
  </si>
  <si>
    <t>LCWIP route 8</t>
  </si>
  <si>
    <t>LCWIP walking templefields</t>
  </si>
  <si>
    <t>LCWIP walking bush fair</t>
  </si>
  <si>
    <t>Strategic Sites plus TC plus PAH minus Gilston</t>
  </si>
  <si>
    <t>All sites minus Gilston</t>
  </si>
  <si>
    <t>Eastern Stort Crossing</t>
  </si>
  <si>
    <t>M11 Juntion 7</t>
  </si>
  <si>
    <t>Second Avenue Junctions</t>
  </si>
  <si>
    <t>All HDC HS2 Allocations</t>
  </si>
  <si>
    <t>All sites</t>
  </si>
  <si>
    <t>PAH Additional Floorspace</t>
  </si>
  <si>
    <t>ST3</t>
  </si>
  <si>
    <t>ST1+2</t>
  </si>
  <si>
    <t>STC Gilston</t>
  </si>
  <si>
    <t>ST3 Second Stort Crossing</t>
  </si>
  <si>
    <t>Indexation Adjustments</t>
  </si>
  <si>
    <t>Infrastructure Item</t>
  </si>
  <si>
    <t>Base Cost</t>
  </si>
  <si>
    <t>Base Cost Date</t>
  </si>
  <si>
    <t>Index</t>
  </si>
  <si>
    <t>Indexation Adjustment Methodology</t>
  </si>
  <si>
    <t>New Cost Date</t>
  </si>
  <si>
    <t>Index @ base cost date</t>
  </si>
  <si>
    <t>Index @ new cost date</t>
  </si>
  <si>
    <t>New Cost</t>
  </si>
  <si>
    <t>% increase</t>
  </si>
  <si>
    <t>STC Contribution rate</t>
  </si>
  <si>
    <t>2Q 2019</t>
  </si>
  <si>
    <t>BCIS Road Tender Price Index #7807</t>
  </si>
  <si>
    <t>Base cost * (Index @ new date / Index @ base cost date)</t>
  </si>
  <si>
    <t>1Q 2022</t>
  </si>
  <si>
    <t>STC-TCh</t>
  </si>
  <si>
    <t>STC-N</t>
  </si>
  <si>
    <t>STC-E</t>
  </si>
  <si>
    <t>3Q 2021</t>
  </si>
  <si>
    <t xml:space="preserve">STC-S </t>
  </si>
  <si>
    <t>4Q 2020</t>
  </si>
  <si>
    <t>STC-S 2nd Ave/Velizy jn</t>
  </si>
  <si>
    <t>TR5 (c)</t>
  </si>
  <si>
    <t>TR5 (d)</t>
  </si>
  <si>
    <t>TR5 (e)</t>
  </si>
  <si>
    <t>TR5 (f)</t>
  </si>
  <si>
    <t>TR4 (a)</t>
  </si>
  <si>
    <t>2Q 2021</t>
  </si>
  <si>
    <t>SPONS Civil Engineering and Highway Works Price Book</t>
  </si>
  <si>
    <t>TR4 (b)</t>
  </si>
  <si>
    <t>STC-GA V1-6</t>
  </si>
  <si>
    <t>AT5 (a)</t>
  </si>
  <si>
    <t>AT5 (b)</t>
  </si>
  <si>
    <t>AT6 B-E</t>
  </si>
  <si>
    <t>AT6 F-J</t>
  </si>
  <si>
    <t>AT7 (a)</t>
  </si>
  <si>
    <t>AT7 (b)</t>
  </si>
  <si>
    <t>AT9 A-D</t>
  </si>
  <si>
    <t>AT9 E-N</t>
  </si>
  <si>
    <t>AT10 A-C</t>
  </si>
  <si>
    <t>AT10 D-I</t>
  </si>
  <si>
    <t>3Q 2022</t>
  </si>
  <si>
    <t>BCIS All-in Tender Price Index #101</t>
  </si>
  <si>
    <t>1Q 2020</t>
  </si>
  <si>
    <t>ST2 (HCC)</t>
  </si>
  <si>
    <t>1Q 2021</t>
  </si>
  <si>
    <t>Retail Price Index</t>
  </si>
  <si>
    <t>ED3 (new 2fe primary)</t>
  </si>
  <si>
    <t>ED3 (new 3fe primary)</t>
  </si>
  <si>
    <t>ED9 (new secondary pupil place)</t>
  </si>
  <si>
    <t>ED12 (secondary)</t>
  </si>
  <si>
    <t>ED12 (primary)</t>
  </si>
  <si>
    <t>ED5 (primary SEN)</t>
  </si>
  <si>
    <t>ED10 (secondary SEN)</t>
  </si>
  <si>
    <t>ST2(ECC)</t>
  </si>
  <si>
    <t>Consumer Price Index series 150922</t>
  </si>
  <si>
    <t>Questions:</t>
  </si>
  <si>
    <t>Confirmation: are the BCIS Quarters based on calendar year (ie January to December) or financial year (ie April to March)?</t>
  </si>
  <si>
    <t>calendar</t>
  </si>
  <si>
    <t>How can I tell if an index is confirmed (ie actual will not be further amended) or still a projection (ie may be amended based upon further data)?</t>
  </si>
  <si>
    <t>How do I reference a specific published version of the BCIS Price Index? (ie so it is clear which iteration was used to provide a calculation)</t>
  </si>
  <si>
    <t>date and num be</t>
  </si>
  <si>
    <t xml:space="preserve">Typically how do you decide which Quarter a cost belongs to? (Ie is a cost published in April 2019 1Q or 2Q) </t>
  </si>
  <si>
    <t>Is my claculation methodology correct?</t>
  </si>
  <si>
    <t>Why am I obtaining significantly different outcomes when using the Index (assume linked to answer of Question 2)?</t>
  </si>
  <si>
    <t>Transformation of the Station into a key gateway and transport hub, encouraging sustainable modes accessible for all.</t>
  </si>
  <si>
    <t>The scheme is still at the optioneering and placemaking assessment phase, identifying measures to improve access to the station for active modes and public transport, and to improve the urban realm within the forecourt.
[Note. this is now included within the estimated funding gap]</t>
  </si>
  <si>
    <r>
      <rPr>
        <b/>
        <sz val="11"/>
        <rFont val="Gill Sans MT"/>
        <family val="2"/>
      </rPr>
      <t xml:space="preserve">YES: </t>
    </r>
    <r>
      <rPr>
        <sz val="11"/>
        <rFont val="Gill Sans MT"/>
        <family val="2"/>
      </rPr>
      <t>Costs to be index linked from base date as noted, using BCIS Road Tender Price Index or as otherwise updated.</t>
    </r>
  </si>
  <si>
    <t>STC contribution @ £5976.92 per dwelling.</t>
  </si>
  <si>
    <t>STC contribution @ £5976.92 per dwelling.
Reduction for STC works in lieu (£TBC).</t>
  </si>
  <si>
    <t>STC contribution @ £5976.92 per dwelling.
Deduction for off-site STC works (where applicable)</t>
  </si>
  <si>
    <t>Developer Contributions are based upon the total cost estimate of the STC without any identified funding, which gives a cost per dwelling of £5976.92.
Contributions for Gilston Villages have come from the Village 1-6 and Village 7 Heads of Terms. Contributions from Gilston Villages 1-6 will be sought as follows:
- the lesser of 85% of £42,100,000 or £35,788,000
Contributions for Village 7 will be sought as follows:
- the lesser of 15% of £42,100,000 or £6,315,000</t>
  </si>
  <si>
    <t>STC contribution @ £5976.92 per dwelling</t>
  </si>
  <si>
    <t>Developer Contributions based upon the total STC cost giving a cost of £5976.92 per dwelling.</t>
  </si>
  <si>
    <t>Q3 2023 Uplifted Cost</t>
  </si>
  <si>
    <t>Water Lane Developer(s) to deliver on-site STC and off-site STC connection works in lieu of cost:</t>
  </si>
  <si>
    <t>Latton Priory Developer(s) to deliver on-site STC and off-site STC connection works in lieu of cost:</t>
  </si>
  <si>
    <t>This provision / cost is related to Gilston development and indexation model yet to be agreed between LPA and developer(s), therefore no uplift has been made.</t>
  </si>
  <si>
    <t>This provision / cost is solely related to Gilston development and indexation model yet to be agreed between LPA and developer(s), therefore no uplift has been made.</t>
  </si>
  <si>
    <t>Works completed, no uplift required.</t>
  </si>
  <si>
    <t>No uplift provided. See cell V92/93</t>
  </si>
  <si>
    <t>Q1 2023 Uplifted Cost</t>
  </si>
  <si>
    <t>This cost was provided at Q1 2023. No further uplift required.</t>
  </si>
  <si>
    <t>Cell Q26 (H9) total cost plus Q1 2023 Uplifted Costs where applicable</t>
  </si>
  <si>
    <t>Cell Q47 (H1r5) total cost plus Q1 2023 Uplifted Costs where applicable</t>
  </si>
  <si>
    <t>Cell Q117 (H40) total cost plus Q1 2023 Uplifted Costs where applicable</t>
  </si>
  <si>
    <t>Cell Q15 (H4) total cost plus Q1 2023 Uplifted Costs where applicable</t>
  </si>
  <si>
    <t>Cell Q25 (H8) total cost plus Q1 2023 Uplifted Costs where applicable</t>
  </si>
  <si>
    <t>Cell Q50 (H16) total cost plus Q1 2023 Uplifted Costs where applicable</t>
  </si>
  <si>
    <t>Cell Q57 (H16) total cost plus Q1 2023 Uplifted Costs where applicable</t>
  </si>
  <si>
    <t>No indexation applied until agreed otherwise.</t>
  </si>
  <si>
    <t>Cell Q49 (H15) total cost plus Q1 2023 Uplifted Costs where applicable</t>
  </si>
  <si>
    <t>Cell Q18 (H5) total cost plus Q1 2023 Uplifted Costs where applicable</t>
  </si>
  <si>
    <t>TOTAL ESTIMATED VALUE OF EDUCATION INFRASTRUCTURE</t>
  </si>
  <si>
    <t>TOTAL ESTIMATED COST OF HEALTHCARE INFRASTRUCTURE</t>
  </si>
  <si>
    <t>TOTAL ESTIMATED COST OF EMERGENCY SERVICES INFRASTRUCTURE</t>
  </si>
  <si>
    <t>TOTAL ESTIMATED COST OF COMMUNITY FACILITIES INFRASTRUCTURE</t>
  </si>
  <si>
    <t>TOTAL ESTIMATED COST OF OPEN SPACE INFRASTRUCTURE</t>
  </si>
  <si>
    <t>TOTAL ESTIMATED COST OF SPORTS &amp; LEISURE INFRASTRUCTURE</t>
  </si>
  <si>
    <t>TOTAL ESTIMATED COST OF UTILITIES INFRASTRUCTURE</t>
  </si>
  <si>
    <t>TOTAL ESTIMATED COST OF FLOOD DEFENCE INFRASTRUCTURE</t>
  </si>
  <si>
    <r>
      <rPr>
        <b/>
        <sz val="11"/>
        <rFont val="Gill Sans MT"/>
        <family val="2"/>
      </rPr>
      <t xml:space="preserve">YES: </t>
    </r>
    <r>
      <rPr>
        <sz val="11"/>
        <rFont val="Gill Sans MT"/>
        <family val="2"/>
      </rPr>
      <t>Costs to be index linked from 1Q 2022 using mid-range point between Retail Price Index and Consumer Price Index; or as otherwise updated.</t>
    </r>
  </si>
  <si>
    <t xml:space="preserve">Cost uplifted from Q3 2021 as response from PAH received in Aug 21. </t>
  </si>
  <si>
    <t xml:space="preserve">All developer contributions secured toward the STC will be treated as part of the RIF and used to deliver the STC network and other related active and sustainable transport improvements. These improvements are necessary to achieve the 60% active/sustainable mode share in all new Garden Community sites, and 50% active/sustainable mode share in existing Harlow sites. </t>
  </si>
  <si>
    <t>Total recovery of STC-GA through forward-funding from HIG.</t>
  </si>
  <si>
    <t>Eastern STC continuation into and through the East of Harlow new garden community, including:
(a) High Quality Walking, Cycling and Public Transport routes to connect to Eastern STC at London Road/Harlow Innovation Park;
(b) Continuation of the STC on-site to connect into the new neighbourhood(s) and link to the new Hospital with on-site Hubs;
(c) continuation of STC under highway between new garden community and new Hospital site with a Hub.</t>
  </si>
  <si>
    <t xml:space="preserve">Western STC continuation into and through the Water Lane new garden community, including:
(a) High Quality Walking, Cycling and Public Transport routes to connect to Western STC at the Pinnacles Area;
(b) Continuation of the STC on-site to serve the new neighbourhood(s) with on-site Hubs;
(c) continuation of STC across Water Lane to connect West of Katherine's and West of Sumners new residential areas. </t>
  </si>
  <si>
    <t xml:space="preserve">Southern STC continuation into and through the Latton Priory new garden community, including:
(a) High Quality Walking, Cycling and Public Transport routes to connect to Southern STC at Latton Bush Centre/Commonside Road;
(b) continuation of the STC on-site to serve the new neighbourhood(s) with on-site Hubs;
(c) continuation of STC to connect with the B1393/M11 Junction 7. </t>
  </si>
  <si>
    <t>Final recovery of HIG forward-funding from Gilston Area Village 1-6 to be agreed based upon actual draw-down and costs</t>
  </si>
  <si>
    <t>Funding for (b) is secured through the s106 HoT for Gilston applications</t>
  </si>
  <si>
    <t>Identified/secured funding currently comprises:
1. £15,400,000 Towns Fund grant awarded to HDC;
2. (up to) £42,100,000 Housing Investment Grant awarded to HCC and contracted to ECC for STC-N and to forward-fund Cambridge Road junction TR3(e);
3. £290,000 DLUHC funding awarded to HGGT (for STC-EZh).</t>
  </si>
  <si>
    <t>Additional contributions will be sought from all major windfall developments (subject to viability). Additional payments into the Rolling Infrastructure Fund (RIF) are anticipated through repayment of Housing Investment Grant Funding as indicated.
At present the funding gap of the STC (not including the connector schemes) is just over £17m, which is comfortably within funding coming forward through HIG recovery payments through the RIF.</t>
  </si>
  <si>
    <t>Full funding for the Second Stort Crossing scheme will come through the HIG.</t>
  </si>
  <si>
    <t>Contributions will be collected from Gilston Villages 1-6 totalling £21,500,000, and Gilston Village 7 totalling £3,794,823.
ECC to assess contributions at application stage with current expectation of up to £2,800 per dwelling being required.</t>
  </si>
  <si>
    <t>In accordance with the HGGT Transport Strategy (2021), Harlow Local Development Plan (2020), East Herts District Plan (2018) and Epping Forest Local Plan all developments will be required to prepare and implement green travel plans to support active and sustainable travel.
Contributions required to support the achievement of HGGT mode shift targets including subsidy of public transport services and other actions.</t>
  </si>
  <si>
    <t xml:space="preserve">Harlow Council have successfully secured £20m of government funding to transform and regenerate Playhouse Square and College Square, through the Levelling Up Fund. </t>
  </si>
  <si>
    <t xml:space="preserve">A cost has been provided for an interim on-road scheme. Design work to identify interventions required and associated costing for these, will be completed in Autumn 2023, and therefore this interim cost approximation is based from officer engagement. A longer term aspiration remains to deliver a sustainable route as set out within the Local Plan, through a rapid transit route through the green wedge. Some upgrading of existing walking and cycling routes in the Green Wedge may be sought as part of a package of southern STC contributions. Contributions will be collected from developers as the scheme progresses and planning applications come are assessed. </t>
  </si>
  <si>
    <r>
      <t xml:space="preserve">Estimated Funding Gap </t>
    </r>
    <r>
      <rPr>
        <b/>
        <i/>
        <sz val="11"/>
        <rFont val="Gill Sans MT"/>
        <family val="2"/>
      </rPr>
      <t>(based on column Q costs)</t>
    </r>
  </si>
  <si>
    <r>
      <rPr>
        <b/>
        <sz val="11"/>
        <rFont val="Gill Sans MT"/>
        <family val="2"/>
      </rPr>
      <t xml:space="preserve">YES: </t>
    </r>
    <r>
      <rPr>
        <sz val="11"/>
        <rFont val="Gill Sans MT"/>
        <family val="2"/>
      </rPr>
      <t>Contributions  to be index linked from 1Q 2022 using mid-range point between Retail Price Index and Consumer Price Index; or as otherwise updated.</t>
    </r>
  </si>
  <si>
    <t xml:space="preserve">The approach to apportioning the costs of the Eastern Stort Crossing is as follows on a roof tax basis:
- Gilston Area up to 59%;
- East of Harlow 21%;
- Water Lane 12%;
- Latton Priory 6%;
- PAH 3%.
The Garden Town will consider the submission of modelling relating to each strategic site, which demonstrates policy compliance, an contributions to wider infrastructure requirements. The HIG will fund up to £129m towards the Central Stort Crossing and the Second Stort Crossing. PfP will pay this back on a roof tax basis for the Second Stort Crossing, and other contributions will be expected to pay into the RIF on a roof tax basis. 
</t>
  </si>
  <si>
    <t>Apportionment for forward funding repayment, and other developer contributions, has been calculated on an arithmetic per dwelling basis.</t>
  </si>
  <si>
    <t>Gilston sites to pay 100% of the total crossing.
Gilston Villages 1-6 to pay 85% of this, and Village 7 to pay the remaining 15%.</t>
  </si>
  <si>
    <r>
      <t xml:space="preserve">Ref
</t>
    </r>
    <r>
      <rPr>
        <sz val="11"/>
        <rFont val="Gill Sans MT"/>
        <family val="2"/>
      </rPr>
      <t>(new / 2019 IDP ref)</t>
    </r>
  </si>
  <si>
    <r>
      <t xml:space="preserve">Provision / Cost </t>
    </r>
    <r>
      <rPr>
        <b/>
        <i/>
        <sz val="11"/>
        <rFont val="Gill Sans MT"/>
        <family val="2"/>
      </rPr>
      <t>(all other costs presented from here other than column R are to be uplifted based on this cost column)</t>
    </r>
  </si>
  <si>
    <r>
      <t xml:space="preserve">Q1 2023 Uplifted Cost Estimate </t>
    </r>
    <r>
      <rPr>
        <i/>
        <sz val="11"/>
        <rFont val="Gill Sans MT"/>
        <family val="2"/>
      </rPr>
      <t xml:space="preserve">(only total Provision / Cost cell column Q (H) has been uplifted. Developers will be expected to contribute an uplift to the cost included in columns AL (AA) to BI (AX) in-line with indexation approaches). </t>
    </r>
  </si>
  <si>
    <r>
      <t xml:space="preserve">Gilston Area new garden community Villages 1-6
</t>
    </r>
    <r>
      <rPr>
        <sz val="11"/>
        <rFont val="Gill Sans MT"/>
        <family val="2"/>
      </rPr>
      <t>(EHDC ref GA1)
new homes =</t>
    </r>
  </si>
  <si>
    <r>
      <t xml:space="preserve">Gilston Area new garden community Village 7
</t>
    </r>
    <r>
      <rPr>
        <sz val="11"/>
        <rFont val="Gill Sans MT"/>
        <family val="2"/>
      </rPr>
      <t xml:space="preserve">(EHDC ref GA1)
new homes = </t>
    </r>
  </si>
  <si>
    <r>
      <t xml:space="preserve">East of Harlow new garden community: within HDC
</t>
    </r>
    <r>
      <rPr>
        <sz val="11"/>
        <rFont val="Gill Sans MT"/>
        <family val="2"/>
      </rPr>
      <t>(HDC ref HS3)
new homes =</t>
    </r>
  </si>
  <si>
    <r>
      <t xml:space="preserve">East of Harlow new garden community: within EFDC
</t>
    </r>
    <r>
      <rPr>
        <sz val="11"/>
        <rFont val="Gill Sans MT"/>
        <family val="2"/>
      </rPr>
      <t>(EFDC ref SP5.3)
new homes =</t>
    </r>
  </si>
  <si>
    <r>
      <t xml:space="preserve">East of Harlow new Princess Alexandra Hospital within EFDC
</t>
    </r>
    <r>
      <rPr>
        <sz val="11"/>
        <rFont val="Gill Sans MT"/>
        <family val="2"/>
      </rPr>
      <t>(EFDC ref SP5.3)
comprising =</t>
    </r>
  </si>
  <si>
    <r>
      <t xml:space="preserve">Water Lane Area new garden community
</t>
    </r>
    <r>
      <rPr>
        <sz val="11"/>
        <rFont val="Gill Sans MT"/>
        <family val="2"/>
      </rPr>
      <t>(EFDC ref SP5.2)
new homes =</t>
    </r>
  </si>
  <si>
    <r>
      <t xml:space="preserve">Latton Priory new garden community
</t>
    </r>
    <r>
      <rPr>
        <sz val="11"/>
        <rFont val="Gill Sans MT"/>
        <family val="2"/>
      </rPr>
      <t>(EFDC ref SP5.1)
new homes =</t>
    </r>
  </si>
  <si>
    <r>
      <t xml:space="preserve">Existing Princess Alexandra Hospital Site
</t>
    </r>
    <r>
      <rPr>
        <sz val="11"/>
        <rFont val="Gill Sans MT"/>
        <family val="2"/>
      </rPr>
      <t>(HDC ref HS2.1)
new homes =</t>
    </r>
  </si>
  <si>
    <r>
      <t xml:space="preserve">The Stow Service Bays
</t>
    </r>
    <r>
      <rPr>
        <sz val="11"/>
        <rFont val="Gill Sans MT"/>
        <family val="2"/>
      </rPr>
      <t>(HDC ref HS2.2)
new homes =</t>
    </r>
  </si>
  <si>
    <r>
      <t xml:space="preserve">Staple Tye Mews, Staple Tye Depot and The Gateway Nursery
</t>
    </r>
    <r>
      <rPr>
        <sz val="11"/>
        <rFont val="Gill Sans MT"/>
        <family val="2"/>
      </rPr>
      <t>(HDC ref HS2.3)
new homes =</t>
    </r>
  </si>
  <si>
    <r>
      <t xml:space="preserve">Riddings Lane
</t>
    </r>
    <r>
      <rPr>
        <sz val="11"/>
        <rFont val="Gill Sans MT"/>
        <family val="2"/>
      </rPr>
      <t>(HDC ref HS2.4)
new homes =</t>
    </r>
  </si>
  <si>
    <r>
      <t xml:space="preserve">The Evangelical Lutheran Church, Tawneys Road
</t>
    </r>
    <r>
      <rPr>
        <sz val="11"/>
        <rFont val="Gill Sans MT"/>
        <family val="2"/>
      </rPr>
      <t>(HDC ref HS2.5)
new homes =</t>
    </r>
  </si>
  <si>
    <r>
      <t xml:space="preserve">Pollard Hatch Plus Garages and Adjacent Land
</t>
    </r>
    <r>
      <rPr>
        <sz val="11"/>
        <rFont val="Gill Sans MT"/>
        <family val="2"/>
      </rPr>
      <t>(HDC ref HS2.6)
new homes =</t>
    </r>
  </si>
  <si>
    <r>
      <t xml:space="preserve">Coppice Hatch and Garages
</t>
    </r>
    <r>
      <rPr>
        <sz val="11"/>
        <rFont val="Gill Sans MT"/>
        <family val="2"/>
      </rPr>
      <t>(HDC ref HS2.7)
new homes =</t>
    </r>
  </si>
  <si>
    <r>
      <t xml:space="preserve">Sherards House
</t>
    </r>
    <r>
      <rPr>
        <sz val="11"/>
        <rFont val="Gill Sans MT"/>
        <family val="2"/>
      </rPr>
      <t>(HDC ref HS2.8)
new homes =</t>
    </r>
  </si>
  <si>
    <r>
      <t xml:space="preserve">Elm Hatch and Public House
</t>
    </r>
    <r>
      <rPr>
        <sz val="11"/>
        <rFont val="Gill Sans MT"/>
        <family val="2"/>
      </rPr>
      <t>(HDC ref HS2.9)
new homes =</t>
    </r>
  </si>
  <si>
    <r>
      <t xml:space="preserve">Fishers Hatch
</t>
    </r>
    <r>
      <rPr>
        <sz val="11"/>
        <rFont val="Gill Sans MT"/>
        <family val="2"/>
      </rPr>
      <t>(HDC ref HS2.10)
new homes =</t>
    </r>
  </si>
  <si>
    <r>
      <t xml:space="preserve">Slacksbury Hatch and Associated Garages
</t>
    </r>
    <r>
      <rPr>
        <sz val="11"/>
        <rFont val="Gill Sans MT"/>
        <family val="2"/>
      </rPr>
      <t>(HDC ref HS2.11)
new homes =</t>
    </r>
  </si>
  <si>
    <r>
      <t xml:space="preserve">Garage Blocks Adjacent to Nicholls Tower
</t>
    </r>
    <r>
      <rPr>
        <sz val="11"/>
        <rFont val="Gill Sans MT"/>
        <family val="2"/>
      </rPr>
      <t>(HDC ref HS2.12)
new homes =</t>
    </r>
  </si>
  <si>
    <r>
      <t xml:space="preserve">Stewards Farm
</t>
    </r>
    <r>
      <rPr>
        <sz val="11"/>
        <rFont val="Gill Sans MT"/>
        <family val="2"/>
      </rPr>
      <t>(HDC ref HS2.13)
new homes =</t>
    </r>
  </si>
  <si>
    <r>
      <t xml:space="preserve">Pypers Hatch
</t>
    </r>
    <r>
      <rPr>
        <sz val="11"/>
        <rFont val="Gill Sans MT"/>
        <family val="2"/>
      </rPr>
      <t>(HDC ref HS2.14)
new homes =</t>
    </r>
  </si>
  <si>
    <r>
      <t xml:space="preserve">HDC Town Centre Masterplan Framework
</t>
    </r>
    <r>
      <rPr>
        <sz val="11"/>
        <rFont val="Gill Sans MT"/>
        <family val="2"/>
      </rPr>
      <t>potential new homes =</t>
    </r>
  </si>
  <si>
    <t>Facilities already exist at Harlow Town Rail Station, Feasibility Study (Stage 1) has been completed by ECC [May 2023].</t>
  </si>
  <si>
    <t>Final detailed route still to be defined</t>
  </si>
  <si>
    <t>Indicative Route identified in HGGT Transport Strategy and Harlow District Plan. Estimated costs as set out in IDP evidence from Essex County Council, base cost date 3Q 2021 index linked to Q2 2022.</t>
  </si>
  <si>
    <t>HGGT Transport Strategy (2021) and Harlow District Plan (2020) identify indicative route for an Southern STC connecting Harlow Town Centre to new and existing neighbourhoods and Latton Priory to the South.</t>
  </si>
  <si>
    <r>
      <t xml:space="preserve">Sustainable Transport Corridor (STC) network </t>
    </r>
    <r>
      <rPr>
        <sz val="11"/>
        <rFont val="Gill Sans MT"/>
        <family val="2"/>
      </rPr>
      <t>… continued …</t>
    </r>
  </si>
  <si>
    <t xml:space="preserve">Places for People contracted through Housing Investment Grant award (managed by Hertfordshire County Council) for delivery of works to the Fifth Avenue Stort Valley Crossing, to be substantively complete in 2027. Design approved under planning consent 3/19/1046/FUL and HW/CRB/19/00220 (HDC) granted on 18/03/2022. </t>
  </si>
  <si>
    <t>Delivery of STC connection between Gilston Area new garden community and Northern STC expected by 2027/28. Phasing of on-site works currently unknown.</t>
  </si>
  <si>
    <t>(a) Cost of provision of East of Harlow STC connection from London Road currently unknown.
(b) Cost of STC connection to Hospital estimated as £2,900,000 as set out in IDP evidence from Princess Alexandra Hospital Trust. 
(c) Cost of on-site STC to form part of development costs so no costs included.</t>
  </si>
  <si>
    <t>Delivery of STC connection between East of Harlow new garden community and Eastern STC currently expected to be delivered by 2030 to support occupation of development. Phasing of on-site works currently unknown.</t>
  </si>
  <si>
    <t>Delivery of STC connection between Water Lane new garden community and Western STC currently expected to be delivered by 2030 to support occupation of development. Phasing of on-site works currently unknown.</t>
  </si>
  <si>
    <t>Delivery of STC connection between Latton Priory new garden community and Southern STC currently expected to be delivered by 2030 to support occupation of development. Phasing of on-site works currently unknown.</t>
  </si>
  <si>
    <r>
      <t xml:space="preserve">ST1 + ST2
</t>
    </r>
    <r>
      <rPr>
        <sz val="11"/>
        <rFont val="Gill Sans MT"/>
        <family val="2"/>
      </rPr>
      <t>(TR34&amp;TR36part)</t>
    </r>
  </si>
  <si>
    <r>
      <t xml:space="preserve">Other Active Travel Infrastructure </t>
    </r>
    <r>
      <rPr>
        <sz val="11"/>
        <rFont val="Gill Sans MT"/>
        <family val="2"/>
      </rPr>
      <t>… continued …</t>
    </r>
  </si>
  <si>
    <t>New Crossing works expected to be completed by 2030</t>
  </si>
  <si>
    <r>
      <t>Other Highway Infrastructure / Services</t>
    </r>
    <r>
      <rPr>
        <sz val="11"/>
        <rFont val="Gill Sans MT"/>
        <family val="2"/>
      </rPr>
      <t xml:space="preserve"> … continued …</t>
    </r>
  </si>
  <si>
    <r>
      <t xml:space="preserve">Other Highway Infrastructure / Services </t>
    </r>
    <r>
      <rPr>
        <sz val="11"/>
        <rFont val="Gill Sans MT"/>
        <family val="2"/>
      </rPr>
      <t>… continued …</t>
    </r>
  </si>
  <si>
    <t>Essex Public Highway improvements, including:
(a) Old Rd Rail Bridge closure and signal works;
(b) Edinburgh Way / Howard Way junction;
(c) Katherine's Way / Southern Way / Water Lane junction and Southern Way traffic calming scheme;
(d) Abercrombie Way / Third Ave junction;
(e) Manston Rd / Second Ave / Tripton Rd junction;
(f) Howard Way / Second Ave / Tillwicks Rd junction;
(g) Water Gardens</t>
  </si>
  <si>
    <t>Estimated costs as set out in IDP evidence from ECC:
(a) £70,000 Q3 2022
(c) £11,000,000 Q1 2023;
(d) £12,800,000 Q1 2023;
(e) £13,400,000 Q1 2023;
(f) £17,800,000 Q1 2023;
(g) £11,100,000 Q1 2023
As set out in IDP evidence from Places for People:
(b) 5,539,491 1Q 2022.</t>
  </si>
  <si>
    <t>These schemes are considered to be priority schemes for ECC that support delivery of the STC, and contributions will be sought from the appropriate developments as applications are received and assessed. 
ECC identify (b) required to mitigate impacts of the Gilston Area; and (c) and (d) to manage traffic flows for Water Lane area. Projects (d), (e) and (f) are required to manage flows to/from all major developments, and to improve pedestrian/cycle connectivity, and all projects facilitate the delivery of the STC, contributions from development to be confirmed.
Gilston Village 7 will directly contribute 15% of total cost of b) to Gilston Village 1-6.</t>
  </si>
  <si>
    <t>(a) Old Road Rail Bridge closure and signal works to be completed by February 2024; Water Gardens works to be completed by March 2023; Phasing of other projects to be confirmed.</t>
  </si>
  <si>
    <t>Early years provision, including:
a) Gilston Area: each new primary school to include nursery provision plus each new village to include 300sqm floorspace for private nursery/child care;
b) East of Harlow: up to 302 places; 
c) Water lane: up to 189 places;
d) Latton Priory: up to 96 places;
e) up to 0.09 new places per dwelling for all developments larger than 20 units or where a cumulative impact occurs, subject to dwelling mix and existing capacity.</t>
  </si>
  <si>
    <t>HCC identify need for 300sqm private early years floorspace per village for Villages 1-6 in Gilston Area.
Gilston Village 7 to deliver a minimum of 275sqm and up to 550sqm.
ECC Developer's Guide for Infrastructure Contributions (Revised 2020): Cost of each project considered on case by case basis with contribution of approximately £30,127 per child place</t>
  </si>
  <si>
    <t>300sqm private Early Years floorspace in each village for V1-6, and a minimum of 275sqm for V7 in Gilston Area and c.748 new Early Years places in Essex</t>
  </si>
  <si>
    <t>Early years costs for Gilston Villages have been calculated using HCC guide to developer contributions, which sets out a build cost for Early Years facilities of £2,783 per sqm.
ECC Developer's Guide for Infrastructure Contributions (Revised 2020): estimates child yield 0.09 per (2+bed) house; and 0.045 per (2+bed) flat. Cost per place = £30,127 (September 2020). For purposes of IDP calculation Town Centre assumed to be flats and all other developments to be houses.</t>
  </si>
  <si>
    <t>HCC costs informed by DfE Scorecard (2021), base cost date 1Q 2022:
2fe primary school: £9.702m (1Q 2022);
3fe primary school: £14.552m (1Q 2022).
There will also be a 10% uplift in costs set out within the DfE scorecard, to reflect sustainable builds.</t>
  </si>
  <si>
    <t>Developer Contributions received from:
Barnfield (Land at), Roydon;
Ram Gorse Playing Field (Harlow Rugby Club), Harlow; and Gilden Way (Land North of), Harlow.</t>
  </si>
  <si>
    <t>HCC: According to DfE Scorecard (2021) costs: 8fe secondary school, with 6th form (75% stay on) £40.097m; 12fe secondary school with 6th form (75% stay on) £60.146m.
There will also be a 10% uplift in costs set out within the DfE scorecard, to reflect sustainable builds.</t>
  </si>
  <si>
    <t>Full provision of land and construction costs apportioned to Gilston Area development. Provision to be agreed through s106 and final size and cost of schools to be agreed based upon needs of the development.
Costs have been apportioned as follows: 
a) Each of Gilston 1-6 and Village 7 will contribute 3FE, and the remaining 2FE have been apportioned by number of dwellings in the absence of child yields. Cost to be apportioned includes a 10% uplift to reflect the need to account for sustainable builds.
b) The total cost of 12FE has been apportioned by number of dwellings between Gilston villages 1-6 and village 7, and an uplift of 10% has been added to account for the need for sustainable builds.</t>
  </si>
  <si>
    <t>Hertfordshire County Education Authority Off-site school transport and temporary Secondary School accommodation and revenue support to mitigate impact of early Secondary Education provision, including off-site provision at 4 FE of child yield.</t>
  </si>
  <si>
    <r>
      <t>Secondary Education &amp; Post-16 Education</t>
    </r>
    <r>
      <rPr>
        <sz val="11"/>
        <rFont val="Gill Sans MT"/>
        <family val="2"/>
      </rPr>
      <t xml:space="preserve"> … continued ...</t>
    </r>
  </si>
  <si>
    <r>
      <rPr>
        <b/>
        <sz val="11"/>
        <rFont val="Gill Sans MT"/>
        <family val="2"/>
      </rPr>
      <t>YES</t>
    </r>
    <r>
      <rPr>
        <sz val="11"/>
        <rFont val="Gill Sans MT"/>
        <family val="2"/>
      </rPr>
      <t xml:space="preserve">: Costs to be index linked from Q1 2020 using an Index to be advised or as otherwise updated. 
Cell R38 Q1 23 cost estimate based upon mid-range between Consumer Price Index and Retail Price Index. </t>
    </r>
  </si>
  <si>
    <r>
      <rPr>
        <b/>
        <sz val="11"/>
        <rFont val="Gill Sans MT"/>
        <family val="2"/>
      </rPr>
      <t>YES</t>
    </r>
    <r>
      <rPr>
        <sz val="11"/>
        <rFont val="Gill Sans MT"/>
        <family val="2"/>
      </rPr>
      <t xml:space="preserve">: Costs to be index linked from 1Q 2022 using Retail Price Index or as otherwise updated.
Cell R40 Q1 23 cost estimate based upon mid-range between Consumer Price Index and Retail Price Index. </t>
    </r>
  </si>
  <si>
    <r>
      <t xml:space="preserve">Contributions towards acute healthcare provision are not deemed retrievable from the strategic sites as evidenced at the Gilston Outline planning hearing, which was vindicated by the landmark case of </t>
    </r>
    <r>
      <rPr>
        <i/>
        <sz val="11"/>
        <rFont val="Gill Sans MT"/>
        <family val="2"/>
      </rPr>
      <t>‘R (University Hospitals of Leicester NHS Trust) v Harborough District Council (Holgate J, 13 February 2023)’</t>
    </r>
    <r>
      <rPr>
        <sz val="11"/>
        <rFont val="Gill Sans MT"/>
        <family val="2"/>
      </rPr>
      <t xml:space="preserve"> which considered that new development does not constitute for mitigation for development under the terms of reg 122.</t>
    </r>
  </si>
  <si>
    <t>Gilston Villages 1-6 and Village 7 Heads of Terms have identified contributions as follows:
- Village 1-6 - the lesser of £416,887 or 85% of £490,455
- Village 7 - the lesser of £73,568 or 15% of £490,455.
Other provisions to be agreed at Masterplan / Application stage.</t>
  </si>
  <si>
    <t>Library provision to serve the Garden Town, including:
a) Phase 1 - refurbish Harlow Town library;
b) Phase 2 - potential relocation / expansion of Harlow Town library in the Town Centre
c) New provision on-site</t>
  </si>
  <si>
    <t>ECC estimate costs as follows:
(a) £2,015,000 refurbishment of Harlow Town Centre Library and co-location with Adult Community Learning to meet current population needs;
(b) indicative cost of £6,500,000 for potential relocation or expansion of Harlow Town Centre Library to meet future population needs
(c) total cost TBC</t>
  </si>
  <si>
    <t>Gilston Villages 1-6 and Village 7 Heads of Terms set out contributions for (c) as follows:
Village 1-6 - £1,900,000
Village 7 - £337,631
ECC Developer's Guide for Infrastructure Contributions (Revised 2020): estimated Library contribution £244.92 per dwelling.</t>
  </si>
  <si>
    <t>Harlow Sculpture Town new Public Art, including:
a) on-site public art in particular new or relocated sculptural works;
b) enhancing and extending existing Harlow Town sculpture trails;
c) Sculpture Town Artist in residence;
d) Public art in Gilston Villages</t>
  </si>
  <si>
    <t>In accordance with:
- Policy L3 of the Harlow Local Development Plan (December 2020) ;
- Policy DES4 of the East Herts District Plan (October 2018);
- Policy DM9 of the Draft Epping Forest Local Plan (Submission Version December 2017).
d) has been costed through the Gilston Villages 1-6 and Village 7 Heads of Terms.</t>
  </si>
  <si>
    <t>In accordance with Policies of the respective District Plans all major developments should seek to support public art and maintain and support the status of Harlow as a Sculpture Town. Provision should be made on-site where possible or should seek to contribute to enhancing the existing Sculpture Trails through engagement with Harlow Council and Harlow Arts Trust. 
Gilston Villages 1-6 and Village 7 Heads of Terms have identified contributions as follows:
- Village 1 to contribute £200,000
- Village 2-6 to contribute £137,200 per Village
- Village 7 to contribute £137,200</t>
  </si>
  <si>
    <t>a), b), c) Delivery phasing currently unknown
d) To submit for Council approval no later than first Commencement a strategy for integrating Public Art into the V1-6 Development as a means of contributing to local distinctiveness, placemaking and enhancing the public realm and quality of the Gilston Area Development. It shall provide a cost plan for spending the V1-6 Public Art Contribution with a higher proportion to be spent on Village 1 given its proximity to the Central Stort Crossing and its Pedestrian Footbridge. To implement the Approved V1-6 Public Art Strategy according to its terms and submit an Annual Report to the Council to account for expenditure against the contribution (and required spending prior to completion of each Village).</t>
  </si>
  <si>
    <r>
      <t>Q1 2023 Uplifted Cost Estimate</t>
    </r>
    <r>
      <rPr>
        <i/>
        <sz val="11"/>
        <rFont val="Gill Sans MT"/>
        <family val="2"/>
      </rPr>
      <t xml:space="preserve"> (only total Provision / Cost cell column Q (H) has been uplifted. Developers will be expected to contribute an uplift to the cost included in columns AL (AA) to BI (AX) in-line with indexation approaches). </t>
    </r>
  </si>
  <si>
    <t>The Gilston Villages 1-6 and Village 7 Heads of Terms have identified a total cost of a) as £3,382,500.
CRT have identified costs for improving the tow path as:
b) i) £807,738 Roydon to Hunsdon Lock;
b) ii) £374,550 Hunsdon Lock to ECC path 74;
b) iii) £1,431,284 ECC path 74 to Harlow Mill.</t>
  </si>
  <si>
    <t>a) £1,200,000 to be secured by occupation of 1,000 dwellings within Village 1, then a further £900,000 will be collected after occupation of 4,500 dwellings within Villages 1-6, and a further £900,000 to be collected on occupation of 7,000 dwellings within Villages 1-6. V7 contributions trigger to be agreed.
b) Delivery phasing not currently known</t>
  </si>
  <si>
    <t>HDC have requested a contribution of £500,000 from the new garden communities to support delivery of town centre public realm improvements to help meet the needs and mitigate the impacts of new residents.
Funding has been secured from Gilston villages, which is intended for item d) Playhouse Quarter. Contributions are as follows:
- The lesser of 85% of £270,957 or £240,317 from Villages 1-6 
- The lesser of 15% of £270,957 or £30,640 from Village 7</t>
  </si>
  <si>
    <r>
      <rPr>
        <b/>
        <sz val="11"/>
        <rFont val="Gill Sans MT"/>
        <family val="2"/>
      </rPr>
      <t>YES</t>
    </r>
    <r>
      <rPr>
        <sz val="11"/>
        <rFont val="Gill Sans MT"/>
        <family val="2"/>
      </rPr>
      <t xml:space="preserve">: Costs to be index linked using Index to be advised (or as otherwise updated):
a) from date to be advised.
Cell R46 Q1 23 cost estimate based upon mid-range between Consumer Price Index and Retail Price Index. </t>
    </r>
  </si>
  <si>
    <r>
      <t xml:space="preserve">SF2
</t>
    </r>
    <r>
      <rPr>
        <sz val="11"/>
        <rFont val="Gill Sans MT"/>
        <family val="2"/>
      </rPr>
      <t>(new)</t>
    </r>
  </si>
  <si>
    <t>As identified in the HDC Sports and Playing Pitch Strategy:
a) to be assessed;
b) £2,220,000;
c) to be assessed;
d) £994,000;
e) £91,500;
f) £111,000;
g) to be assessed;
h) £2,080,000;
i) to be assessed;
j) to be assessed;
k) total cost TBC</t>
  </si>
  <si>
    <r>
      <t xml:space="preserve">SF3
</t>
    </r>
    <r>
      <rPr>
        <sz val="11"/>
        <rFont val="Gill Sans MT"/>
        <family val="2"/>
      </rPr>
      <t>(new)</t>
    </r>
  </si>
  <si>
    <r>
      <t xml:space="preserve">SF4
</t>
    </r>
    <r>
      <rPr>
        <sz val="11"/>
        <rFont val="Gill Sans MT"/>
        <family val="2"/>
      </rPr>
      <t>(new)</t>
    </r>
  </si>
  <si>
    <r>
      <t xml:space="preserve">SF5
</t>
    </r>
    <r>
      <rPr>
        <sz val="11"/>
        <rFont val="Gill Sans MT"/>
        <family val="2"/>
      </rPr>
      <t>(new)</t>
    </r>
  </si>
  <si>
    <r>
      <t xml:space="preserve">SF6
</t>
    </r>
    <r>
      <rPr>
        <sz val="11"/>
        <rFont val="Gill Sans MT"/>
        <family val="2"/>
      </rPr>
      <t>(new)</t>
    </r>
  </si>
  <si>
    <r>
      <t xml:space="preserve">SF7
</t>
    </r>
    <r>
      <rPr>
        <sz val="11"/>
        <rFont val="Gill Sans MT"/>
        <family val="2"/>
      </rPr>
      <t>(new)</t>
    </r>
  </si>
  <si>
    <r>
      <t xml:space="preserve">SF8
</t>
    </r>
    <r>
      <rPr>
        <sz val="11"/>
        <rFont val="Gill Sans MT"/>
        <family val="2"/>
      </rPr>
      <t>(new)</t>
    </r>
  </si>
  <si>
    <r>
      <t xml:space="preserve">SF9
</t>
    </r>
    <r>
      <rPr>
        <sz val="11"/>
        <rFont val="Gill Sans MT"/>
        <family val="2"/>
      </rPr>
      <t>(new)</t>
    </r>
  </si>
  <si>
    <r>
      <t xml:space="preserve">SF10
</t>
    </r>
    <r>
      <rPr>
        <sz val="11"/>
        <rFont val="Gill Sans MT"/>
        <family val="2"/>
      </rPr>
      <t>(new)</t>
    </r>
  </si>
  <si>
    <r>
      <t xml:space="preserve">SF11
</t>
    </r>
    <r>
      <rPr>
        <sz val="11"/>
        <rFont val="Gill Sans MT"/>
        <family val="2"/>
      </rPr>
      <t>(new)</t>
    </r>
  </si>
  <si>
    <r>
      <t xml:space="preserve">SF12
</t>
    </r>
    <r>
      <rPr>
        <sz val="11"/>
        <rFont val="Gill Sans MT"/>
        <family val="2"/>
      </rPr>
      <t>(new)</t>
    </r>
  </si>
  <si>
    <r>
      <t xml:space="preserve">SF13
</t>
    </r>
    <r>
      <rPr>
        <sz val="11"/>
        <rFont val="Gill Sans MT"/>
        <family val="2"/>
      </rPr>
      <t>(new)</t>
    </r>
  </si>
  <si>
    <r>
      <t xml:space="preserve">SF14
</t>
    </r>
    <r>
      <rPr>
        <sz val="11"/>
        <rFont val="Gill Sans MT"/>
        <family val="2"/>
      </rPr>
      <t>(new)</t>
    </r>
  </si>
  <si>
    <r>
      <t xml:space="preserve">UT2
</t>
    </r>
    <r>
      <rPr>
        <sz val="11"/>
        <rFont val="Gill Sans MT"/>
        <family val="2"/>
      </rPr>
      <t>(UT2)</t>
    </r>
  </si>
  <si>
    <r>
      <t xml:space="preserve">HEATING </t>
    </r>
    <r>
      <rPr>
        <sz val="11"/>
        <rFont val="Gill Sans MT"/>
        <family val="2"/>
      </rPr>
      <t>continued …</t>
    </r>
  </si>
  <si>
    <r>
      <t>HEATING</t>
    </r>
    <r>
      <rPr>
        <sz val="11"/>
        <rFont val="Gill Sans MT"/>
        <family val="2"/>
      </rPr>
      <t xml:space="preserve"> continued …</t>
    </r>
  </si>
  <si>
    <t>HCC: Gilston Villages 1-6 and Village 7 Heads of Terms set out costs as follows:
Village 1-6 to secure £1,400,000 towards the household waste recycling facility
Village 7 to secure £249,310 towards the household waste recycling facility
ECC: No cost information available at this time.</t>
  </si>
  <si>
    <r>
      <t xml:space="preserve">FL1
</t>
    </r>
    <r>
      <rPr>
        <sz val="11"/>
        <rFont val="Gill Sans MT"/>
        <family val="2"/>
      </rPr>
      <t>(FL1 &amp; FL2)</t>
    </r>
  </si>
  <si>
    <r>
      <rPr>
        <b/>
        <sz val="11"/>
        <rFont val="Gill Sans MT"/>
        <family val="2"/>
      </rPr>
      <t xml:space="preserve">YES: </t>
    </r>
    <r>
      <rPr>
        <sz val="11"/>
        <rFont val="Gill Sans MT"/>
        <family val="2"/>
      </rPr>
      <t>Costs to be index linked from Q3 2021 using the Price Index to be advised (or as otherwise updated).</t>
    </r>
  </si>
  <si>
    <r>
      <rPr>
        <b/>
        <sz val="11"/>
        <rFont val="Gill Sans MT"/>
        <family val="2"/>
      </rPr>
      <t xml:space="preserve">YES: </t>
    </r>
    <r>
      <rPr>
        <sz val="11"/>
        <rFont val="Gill Sans MT"/>
        <family val="2"/>
      </rPr>
      <t>Contributions to be index linked from Q3 2021 using the Price Index to be advised (or as otherwise updated).</t>
    </r>
  </si>
  <si>
    <r>
      <t xml:space="preserve">FL3
</t>
    </r>
    <r>
      <rPr>
        <sz val="11"/>
        <rFont val="Gill Sans MT"/>
        <family val="2"/>
      </rPr>
      <t>(new)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</si>
</sst>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quot;£&quot;#,##0.0;[Red]\-&quot;£&quot;#,##0.0"/>
    <numFmt numFmtId="167" formatCode="0.000000000000%"/>
    <numFmt numFmtId="168" formatCode="0.000000%"/>
    <numFmt numFmtId="169" formatCode="0.00000"/>
    <numFmt numFmtId="170" formatCode="0.000000000000"/>
    <numFmt numFmtId="171" formatCode="0.00000000000"/>
  </numFmts>
  <fonts count="59" x14ac:knownFonts="1">
    <font>
      <sz val="11"/>
      <color theme="1"/>
      <name val="Calibri"/>
      <family val="2"/>
      <scheme val="minor"/>
    </font>
    <font>
      <sz val="11"/>
      <color theme="1"/>
      <name val="Calibri"/>
      <family val="2"/>
      <scheme val="minor"/>
    </font>
    <font>
      <sz val="11"/>
      <color theme="1"/>
      <name val="Times New Roman"/>
      <family val="1"/>
    </font>
    <font>
      <u/>
      <sz val="11"/>
      <color theme="10"/>
      <name val="Calibri"/>
      <family val="2"/>
      <scheme val="minor"/>
    </font>
    <font>
      <b/>
      <sz val="11"/>
      <color theme="1"/>
      <name val="Times New Roman"/>
      <family val="1"/>
    </font>
    <font>
      <b/>
      <sz val="11"/>
      <name val="Times New Roman"/>
      <family val="1"/>
    </font>
    <font>
      <b/>
      <sz val="11"/>
      <color theme="0"/>
      <name val="Times New Roman"/>
      <family val="1"/>
    </font>
    <font>
      <sz val="11"/>
      <name val="Calibri"/>
      <family val="2"/>
      <scheme val="minor"/>
    </font>
    <font>
      <sz val="11"/>
      <color rgb="FFFF0000"/>
      <name val="Times New Roman"/>
      <family val="1"/>
    </font>
    <font>
      <b/>
      <sz val="11"/>
      <color theme="1"/>
      <name val="Calibri"/>
      <family val="2"/>
      <scheme val="minor"/>
    </font>
    <font>
      <sz val="11"/>
      <name val="Times New Roman"/>
      <family val="1"/>
    </font>
    <font>
      <b/>
      <sz val="11"/>
      <color rgb="FFFF0000"/>
      <name val="Times New Roman"/>
      <family val="1"/>
    </font>
    <font>
      <sz val="11"/>
      <color theme="4"/>
      <name val="Times New Roman"/>
      <family val="1"/>
    </font>
    <font>
      <sz val="11"/>
      <color theme="0"/>
      <name val="Times New Roman"/>
      <family val="1"/>
    </font>
    <font>
      <b/>
      <sz val="11"/>
      <color theme="9"/>
      <name val="Times New Roman"/>
      <family val="1"/>
    </font>
    <font>
      <b/>
      <sz val="11"/>
      <color theme="4"/>
      <name val="Times New Roman"/>
      <family val="1"/>
    </font>
    <font>
      <b/>
      <i/>
      <sz val="11"/>
      <color theme="0"/>
      <name val="Times New Roman"/>
      <family val="1"/>
    </font>
    <font>
      <i/>
      <sz val="11"/>
      <name val="Times New Roman"/>
      <family val="1"/>
    </font>
    <font>
      <i/>
      <sz val="11"/>
      <color theme="1"/>
      <name val="Times New Roman"/>
      <family val="1"/>
    </font>
    <font>
      <sz val="8"/>
      <color theme="1"/>
      <name val="Calibri"/>
      <family val="2"/>
      <scheme val="minor"/>
    </font>
    <font>
      <b/>
      <sz val="11"/>
      <name val="Calibri"/>
      <family val="2"/>
      <scheme val="minor"/>
    </font>
    <font>
      <b/>
      <sz val="11"/>
      <color rgb="FF00B050"/>
      <name val="Times New Roman"/>
      <family val="1"/>
    </font>
    <font>
      <b/>
      <sz val="11"/>
      <color theme="5"/>
      <name val="Times New Roman"/>
      <family val="1"/>
    </font>
    <font>
      <b/>
      <i/>
      <sz val="11"/>
      <color theme="1"/>
      <name val="Times New Roman"/>
      <family val="1"/>
    </font>
    <font>
      <sz val="11"/>
      <color indexed="8"/>
      <name val="Calibri"/>
      <family val="2"/>
    </font>
    <font>
      <i/>
      <sz val="11"/>
      <color theme="0"/>
      <name val="Times New Roman"/>
      <family val="1"/>
    </font>
    <font>
      <sz val="11"/>
      <color indexed="8"/>
      <name val="Calibri"/>
      <family val="2"/>
    </font>
    <font>
      <i/>
      <sz val="11"/>
      <color theme="1"/>
      <name val="Calibri"/>
      <family val="2"/>
      <scheme val="minor"/>
    </font>
    <font>
      <sz val="11"/>
      <color theme="5"/>
      <name val="Times New Roman"/>
      <family val="1"/>
    </font>
    <font>
      <sz val="11"/>
      <color rgb="FFFF0000"/>
      <name val="Calibri"/>
      <family val="2"/>
      <scheme val="minor"/>
    </font>
    <font>
      <sz val="8"/>
      <name val="Calibri"/>
      <family val="2"/>
      <scheme val="minor"/>
    </font>
    <font>
      <b/>
      <sz val="11"/>
      <color rgb="FFFF0000"/>
      <name val="Calibri"/>
      <family val="2"/>
      <scheme val="minor"/>
    </font>
    <font>
      <sz val="9"/>
      <color indexed="81"/>
      <name val="Tahoma"/>
      <family val="2"/>
    </font>
    <font>
      <b/>
      <sz val="9"/>
      <color indexed="81"/>
      <name val="Tahoma"/>
      <family val="2"/>
    </font>
    <font>
      <sz val="11"/>
      <color theme="0"/>
      <name val="Calibri"/>
      <family val="2"/>
      <scheme val="minor"/>
    </font>
    <font>
      <sz val="11"/>
      <color theme="1"/>
      <name val="Gill Sans MT"/>
      <family val="2"/>
    </font>
    <font>
      <b/>
      <sz val="11"/>
      <color theme="0"/>
      <name val="Gill Sans MT"/>
      <family val="2"/>
    </font>
    <font>
      <sz val="11"/>
      <color theme="0"/>
      <name val="Gill Sans MT"/>
      <family val="2"/>
    </font>
    <font>
      <b/>
      <sz val="11"/>
      <name val="Gill Sans MT"/>
      <family val="2"/>
    </font>
    <font>
      <sz val="11"/>
      <color rgb="FFFF0000"/>
      <name val="Gill Sans MT"/>
      <family val="2"/>
    </font>
    <font>
      <sz val="11"/>
      <name val="Gill Sans MT"/>
      <family val="2"/>
    </font>
    <font>
      <b/>
      <sz val="11"/>
      <color theme="1"/>
      <name val="Gill Sans MT"/>
      <family val="2"/>
    </font>
    <font>
      <b/>
      <sz val="11"/>
      <color rgb="FFFF0000"/>
      <name val="Gill Sans MT"/>
      <family val="2"/>
    </font>
    <font>
      <sz val="12"/>
      <color theme="1"/>
      <name val="Gill Sans MT"/>
      <family val="2"/>
    </font>
    <font>
      <b/>
      <sz val="9"/>
      <name val="Gill Sans MT"/>
      <family val="2"/>
    </font>
    <font>
      <b/>
      <sz val="14"/>
      <color theme="0"/>
      <name val="Gill Sans MT"/>
      <family val="2"/>
    </font>
    <font>
      <u/>
      <sz val="11"/>
      <color theme="1"/>
      <name val="Gill Sans MT"/>
      <family val="2"/>
    </font>
    <font>
      <u/>
      <sz val="11"/>
      <name val="Gill Sans MT"/>
      <family val="2"/>
    </font>
    <font>
      <b/>
      <sz val="12"/>
      <color rgb="FFFF0000"/>
      <name val="Gill Sans MT"/>
      <family val="2"/>
    </font>
    <font>
      <strike/>
      <sz val="11"/>
      <color theme="1"/>
      <name val="Calibri"/>
      <family val="2"/>
      <scheme val="minor"/>
    </font>
    <font>
      <b/>
      <i/>
      <sz val="11"/>
      <name val="Gill Sans MT"/>
      <family val="2"/>
    </font>
    <font>
      <b/>
      <sz val="12"/>
      <name val="Gill Sans MT"/>
      <family val="2"/>
    </font>
    <font>
      <sz val="10"/>
      <name val="Gill Sans MT"/>
      <family val="2"/>
    </font>
    <font>
      <i/>
      <sz val="11"/>
      <name val="Gill Sans MT"/>
      <family val="2"/>
    </font>
    <font>
      <b/>
      <sz val="10"/>
      <name val="Gill Sans MT"/>
      <family val="2"/>
    </font>
    <font>
      <b/>
      <sz val="14"/>
      <name val="Gill Sans MT"/>
      <family val="2"/>
    </font>
    <font>
      <sz val="12"/>
      <name val="Gill Sans MT"/>
      <family val="2"/>
    </font>
    <font>
      <u/>
      <sz val="11"/>
      <name val="Calibri"/>
      <family val="2"/>
      <scheme val="minor"/>
    </font>
    <font>
      <i/>
      <sz val="12"/>
      <name val="Gill Sans MT"/>
      <family val="2"/>
    </font>
  </fonts>
  <fills count="38">
    <fill>
      <patternFill patternType="none"/>
    </fill>
    <fill>
      <patternFill patternType="gray125"/>
    </fill>
    <fill>
      <patternFill patternType="solid">
        <fgColor rgb="FF00B0F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bgColor indexed="64"/>
      </patternFill>
    </fill>
    <fill>
      <patternFill patternType="solid">
        <fgColor theme="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7"/>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9"/>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7171"/>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62AE9C"/>
        <bgColor indexed="64"/>
      </patternFill>
    </fill>
    <fill>
      <patternFill patternType="solid">
        <fgColor theme="0" tint="-0.24994659260841701"/>
        <bgColor indexed="64"/>
      </patternFill>
    </fill>
    <fill>
      <patternFill patternType="gray0625">
        <fgColor theme="5"/>
      </patternFill>
    </fill>
    <fill>
      <patternFill patternType="gray0625">
        <fgColor theme="5"/>
        <bgColor rgb="FFFF0000"/>
      </patternFill>
    </fill>
    <fill>
      <patternFill patternType="gray0625">
        <fgColor theme="5"/>
        <bgColor rgb="FFFFC000"/>
      </patternFill>
    </fill>
    <fill>
      <patternFill patternType="gray0625">
        <fgColor theme="5"/>
        <bgColor rgb="FF92D050"/>
      </patternFill>
    </fill>
    <fill>
      <patternFill patternType="darkVertical">
        <fgColor rgb="FF62AE9C"/>
        <bgColor rgb="FFFF7171"/>
      </patternFill>
    </fill>
    <fill>
      <patternFill patternType="solid">
        <fgColor theme="7" tint="0.39997558519241921"/>
        <bgColor indexed="64"/>
      </patternFill>
    </fill>
    <fill>
      <patternFill patternType="solid">
        <fgColor theme="9" tint="0.59999389629810485"/>
        <bgColor indexed="64"/>
      </patternFill>
    </fill>
    <fill>
      <patternFill patternType="solid">
        <fgColor rgb="FF5095C8"/>
        <bgColor indexed="64"/>
      </patternFill>
    </fill>
    <fill>
      <patternFill patternType="solid">
        <fgColor theme="4" tint="0.39997558519241921"/>
        <bgColor indexed="64"/>
      </patternFill>
    </fill>
  </fills>
  <borders count="2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thin">
        <color auto="1"/>
      </right>
      <top/>
      <bottom style="dashed">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thick">
        <color indexed="64"/>
      </right>
      <top style="double">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dashed">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indexed="64"/>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right/>
      <top style="dashed">
        <color indexed="64"/>
      </top>
      <bottom/>
      <diagonal/>
    </border>
    <border>
      <left style="thick">
        <color indexed="64"/>
      </left>
      <right/>
      <top style="thin">
        <color indexed="64"/>
      </top>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diagonalUp="1">
      <left style="double">
        <color indexed="64"/>
      </left>
      <right style="thin">
        <color indexed="64"/>
      </right>
      <top style="thin">
        <color indexed="64"/>
      </top>
      <bottom/>
      <diagonal style="thin">
        <color indexed="64"/>
      </diagonal>
    </border>
    <border diagonalUp="1">
      <left style="double">
        <color indexed="64"/>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n">
        <color indexed="64"/>
      </bottom>
      <diagonal/>
    </border>
    <border>
      <left style="thick">
        <color indexed="64"/>
      </left>
      <right/>
      <top style="double">
        <color indexed="64"/>
      </top>
      <bottom style="thin">
        <color indexed="64"/>
      </bottom>
      <diagonal/>
    </border>
    <border>
      <left/>
      <right style="dashed">
        <color indexed="64"/>
      </right>
      <top/>
      <bottom style="dashed">
        <color indexed="64"/>
      </bottom>
      <diagonal/>
    </border>
    <border>
      <left/>
      <right style="dashed">
        <color indexed="64"/>
      </right>
      <top/>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diagonal/>
    </border>
    <border>
      <left style="thin">
        <color indexed="64"/>
      </left>
      <right/>
      <top style="thick">
        <color indexed="64"/>
      </top>
      <bottom/>
      <diagonal/>
    </border>
    <border>
      <left style="thick">
        <color indexed="64"/>
      </left>
      <right style="thin">
        <color indexed="64"/>
      </right>
      <top style="thick">
        <color indexed="64"/>
      </top>
      <bottom/>
      <diagonal/>
    </border>
    <border>
      <left/>
      <right style="thick">
        <color indexed="64"/>
      </right>
      <top style="thin">
        <color indexed="64"/>
      </top>
      <bottom style="thick">
        <color indexed="64"/>
      </bottom>
      <diagonal/>
    </border>
    <border>
      <left style="dashed">
        <color indexed="64"/>
      </left>
      <right/>
      <top/>
      <bottom/>
      <diagonal/>
    </border>
    <border>
      <left style="dashed">
        <color indexed="64"/>
      </left>
      <right/>
      <top style="dashed">
        <color indexed="64"/>
      </top>
      <bottom/>
      <diagonal/>
    </border>
    <border>
      <left/>
      <right style="dashed">
        <color indexed="64"/>
      </right>
      <top style="thick">
        <color indexed="64"/>
      </top>
      <bottom/>
      <diagonal/>
    </border>
    <border>
      <left/>
      <right style="dashed">
        <color indexed="64"/>
      </right>
      <top style="double">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double">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double">
        <color indexed="64"/>
      </top>
      <bottom style="thin">
        <color indexed="64"/>
      </bottom>
      <diagonal/>
    </border>
    <border>
      <left style="dashed">
        <color indexed="64"/>
      </left>
      <right/>
      <top style="thin">
        <color indexed="64"/>
      </top>
      <bottom style="thin">
        <color indexed="64"/>
      </bottom>
      <diagonal/>
    </border>
    <border>
      <left style="thick">
        <color indexed="64"/>
      </left>
      <right/>
      <top style="double">
        <color indexed="64"/>
      </top>
      <bottom/>
      <diagonal/>
    </border>
    <border>
      <left style="thick">
        <color indexed="64"/>
      </left>
      <right/>
      <top/>
      <bottom style="thin">
        <color indexed="64"/>
      </bottom>
      <diagonal/>
    </border>
    <border>
      <left style="dashed">
        <color indexed="64"/>
      </left>
      <right style="dashed">
        <color indexed="64"/>
      </right>
      <top style="double">
        <color indexed="64"/>
      </top>
      <bottom/>
      <diagonal/>
    </border>
    <border>
      <left style="dashed">
        <color indexed="64"/>
      </left>
      <right style="dashed">
        <color indexed="64"/>
      </right>
      <top/>
      <bottom style="thin">
        <color indexed="64"/>
      </bottom>
      <diagonal/>
    </border>
    <border>
      <left style="thick">
        <color indexed="64"/>
      </left>
      <right style="dashed">
        <color indexed="64"/>
      </right>
      <top style="double">
        <color indexed="64"/>
      </top>
      <bottom style="thin">
        <color auto="1"/>
      </bottom>
      <diagonal/>
    </border>
    <border>
      <left style="thick">
        <color indexed="64"/>
      </left>
      <right style="dashed">
        <color indexed="64"/>
      </right>
      <top style="double">
        <color indexed="64"/>
      </top>
      <bottom/>
      <diagonal/>
    </border>
    <border>
      <left style="thick">
        <color indexed="64"/>
      </left>
      <right style="dashed">
        <color indexed="64"/>
      </right>
      <top/>
      <bottom style="thin">
        <color auto="1"/>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double">
        <color indexed="64"/>
      </top>
      <bottom style="thin">
        <color indexed="64"/>
      </bottom>
      <diagonal/>
    </border>
    <border>
      <left style="dashed">
        <color indexed="64"/>
      </left>
      <right style="dashed">
        <color indexed="64"/>
      </right>
      <top style="thick">
        <color indexed="64"/>
      </top>
      <bottom/>
      <diagonal/>
    </border>
    <border>
      <left style="dashed">
        <color indexed="64"/>
      </left>
      <right/>
      <top style="double">
        <color indexed="64"/>
      </top>
      <bottom/>
      <diagonal/>
    </border>
    <border>
      <left style="dashed">
        <color indexed="64"/>
      </left>
      <right/>
      <top/>
      <bottom style="thin">
        <color indexed="64"/>
      </bottom>
      <diagonal/>
    </border>
    <border>
      <left style="thick">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ck">
        <color indexed="64"/>
      </bottom>
      <diagonal/>
    </border>
    <border>
      <left/>
      <right/>
      <top style="thin">
        <color indexed="64"/>
      </top>
      <bottom style="thick">
        <color indexed="64"/>
      </bottom>
      <diagonal/>
    </border>
    <border>
      <left/>
      <right style="dashed">
        <color indexed="64"/>
      </right>
      <top style="thin">
        <color indexed="64"/>
      </top>
      <bottom style="thick">
        <color indexed="64"/>
      </bottom>
      <diagonal/>
    </border>
    <border>
      <left style="thick">
        <color indexed="64"/>
      </left>
      <right style="dashed">
        <color indexed="64"/>
      </right>
      <top style="thin">
        <color indexed="64"/>
      </top>
      <bottom style="thick">
        <color indexed="64"/>
      </bottom>
      <diagonal/>
    </border>
    <border>
      <left style="thick">
        <color indexed="64"/>
      </left>
      <right style="thin">
        <color indexed="64"/>
      </right>
      <top/>
      <bottom style="mediumDashed">
        <color indexed="64"/>
      </bottom>
      <diagonal/>
    </border>
    <border>
      <left style="thin">
        <color indexed="64"/>
      </left>
      <right style="thin">
        <color indexed="64"/>
      </right>
      <top/>
      <bottom style="mediumDashed">
        <color indexed="64"/>
      </bottom>
      <diagonal/>
    </border>
    <border>
      <left style="thin">
        <color indexed="64"/>
      </left>
      <right/>
      <top/>
      <bottom style="mediumDashed">
        <color indexed="64"/>
      </bottom>
      <diagonal/>
    </border>
    <border>
      <left/>
      <right/>
      <top/>
      <bottom style="mediumDashed">
        <color indexed="64"/>
      </bottom>
      <diagonal/>
    </border>
    <border>
      <left/>
      <right style="thin">
        <color auto="1"/>
      </right>
      <top/>
      <bottom style="mediumDashed">
        <color indexed="64"/>
      </bottom>
      <diagonal/>
    </border>
    <border>
      <left style="thin">
        <color indexed="64"/>
      </left>
      <right style="thick">
        <color indexed="64"/>
      </right>
      <top/>
      <bottom style="mediumDashed">
        <color indexed="64"/>
      </bottom>
      <diagonal/>
    </border>
    <border>
      <left/>
      <right style="thin">
        <color indexed="64"/>
      </right>
      <top style="thick">
        <color indexed="64"/>
      </top>
      <bottom style="thin">
        <color indexed="64"/>
      </bottom>
      <diagonal/>
    </border>
    <border>
      <left style="thick">
        <color indexed="64"/>
      </left>
      <right style="thin">
        <color indexed="64"/>
      </right>
      <top style="mediumDashed">
        <color indexed="64"/>
      </top>
      <bottom/>
      <diagonal/>
    </border>
    <border>
      <left style="thin">
        <color indexed="64"/>
      </left>
      <right style="thin">
        <color indexed="64"/>
      </right>
      <top style="mediumDashed">
        <color indexed="64"/>
      </top>
      <bottom/>
      <diagonal/>
    </border>
    <border>
      <left style="thin">
        <color indexed="64"/>
      </left>
      <right/>
      <top style="mediumDashed">
        <color indexed="64"/>
      </top>
      <bottom style="thin">
        <color indexed="64"/>
      </bottom>
      <diagonal/>
    </border>
    <border>
      <left/>
      <right/>
      <top style="mediumDashed">
        <color indexed="64"/>
      </top>
      <bottom style="thin">
        <color indexed="64"/>
      </bottom>
      <diagonal/>
    </border>
    <border>
      <left/>
      <right style="thin">
        <color indexed="64"/>
      </right>
      <top style="mediumDashed">
        <color indexed="64"/>
      </top>
      <bottom style="thin">
        <color indexed="64"/>
      </bottom>
      <diagonal/>
    </border>
    <border>
      <left style="thin">
        <color indexed="64"/>
      </left>
      <right style="thick">
        <color indexed="64"/>
      </right>
      <top style="mediumDashed">
        <color indexed="64"/>
      </top>
      <bottom/>
      <diagonal/>
    </border>
    <border>
      <left/>
      <right style="thin">
        <color indexed="64"/>
      </right>
      <top style="mediumDashed">
        <color indexed="64"/>
      </top>
      <bottom/>
      <diagonal/>
    </border>
    <border>
      <left style="thin">
        <color indexed="64"/>
      </left>
      <right/>
      <top style="mediumDashed">
        <color indexed="64"/>
      </top>
      <bottom/>
      <diagonal/>
    </border>
    <border>
      <left style="mediumDashed">
        <color indexed="64"/>
      </left>
      <right style="thin">
        <color indexed="64"/>
      </right>
      <top style="thick">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style="thin">
        <color indexed="64"/>
      </top>
      <bottom/>
      <diagonal/>
    </border>
    <border>
      <left style="mediumDashed">
        <color indexed="64"/>
      </left>
      <right style="thin">
        <color indexed="64"/>
      </right>
      <top/>
      <bottom style="thin">
        <color indexed="64"/>
      </bottom>
      <diagonal/>
    </border>
    <border>
      <left style="mediumDashed">
        <color indexed="64"/>
      </left>
      <right/>
      <top style="double">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style="thin">
        <color indexed="64"/>
      </top>
      <bottom style="thick">
        <color indexed="64"/>
      </bottom>
      <diagonal/>
    </border>
    <border>
      <left style="mediumDashed">
        <color indexed="64"/>
      </left>
      <right/>
      <top/>
      <bottom/>
      <diagonal/>
    </border>
    <border>
      <left/>
      <right style="mediumDashed">
        <color indexed="64"/>
      </right>
      <top/>
      <bottom/>
      <diagonal/>
    </border>
    <border>
      <left style="thin">
        <color indexed="64"/>
      </left>
      <right style="mediumDashed">
        <color indexed="64"/>
      </right>
      <top style="thick">
        <color indexed="64"/>
      </top>
      <bottom style="thin">
        <color indexed="64"/>
      </bottom>
      <diagonal/>
    </border>
    <border>
      <left style="thin">
        <color indexed="64"/>
      </left>
      <right style="mediumDashed">
        <color indexed="64"/>
      </right>
      <top style="thin">
        <color indexed="64"/>
      </top>
      <bottom style="thin">
        <color indexed="64"/>
      </bottom>
      <diagonal/>
    </border>
    <border>
      <left style="thin">
        <color indexed="64"/>
      </left>
      <right style="mediumDashed">
        <color indexed="64"/>
      </right>
      <top style="thin">
        <color indexed="64"/>
      </top>
      <bottom/>
      <diagonal/>
    </border>
    <border>
      <left style="thin">
        <color indexed="64"/>
      </left>
      <right style="mediumDashed">
        <color indexed="64"/>
      </right>
      <top/>
      <bottom style="thin">
        <color indexed="64"/>
      </bottom>
      <diagonal/>
    </border>
    <border>
      <left style="thin">
        <color indexed="64"/>
      </left>
      <right style="mediumDashed">
        <color indexed="64"/>
      </right>
      <top style="double">
        <color indexed="64"/>
      </top>
      <bottom style="thin">
        <color indexed="64"/>
      </bottom>
      <diagonal/>
    </border>
    <border>
      <left style="thin">
        <color indexed="64"/>
      </left>
      <right style="mediumDashed">
        <color indexed="64"/>
      </right>
      <top style="thin">
        <color indexed="64"/>
      </top>
      <bottom style="thick">
        <color indexed="64"/>
      </bottom>
      <diagonal/>
    </border>
    <border>
      <left/>
      <right style="mediumDashed">
        <color indexed="64"/>
      </right>
      <top style="double">
        <color indexed="64"/>
      </top>
      <bottom style="thin">
        <color indexed="64"/>
      </bottom>
      <diagonal/>
    </border>
    <border>
      <left/>
      <right style="mediumDashed">
        <color indexed="64"/>
      </right>
      <top style="thin">
        <color indexed="64"/>
      </top>
      <bottom style="thin">
        <color indexed="64"/>
      </bottom>
      <diagonal/>
    </border>
    <border>
      <left style="thick">
        <color indexed="64"/>
      </left>
      <right style="thin">
        <color indexed="64"/>
      </right>
      <top/>
      <bottom style="double">
        <color indexed="64"/>
      </bottom>
      <diagonal/>
    </border>
    <border>
      <left style="thin">
        <color indexed="64"/>
      </left>
      <right style="mediumDashed">
        <color indexed="64"/>
      </right>
      <top/>
      <bottom style="mediumDashed">
        <color indexed="64"/>
      </bottom>
      <diagonal/>
    </border>
    <border>
      <left style="mediumDashed">
        <color indexed="64"/>
      </left>
      <right style="thin">
        <color indexed="64"/>
      </right>
      <top/>
      <bottom style="mediumDashed">
        <color indexed="64"/>
      </bottom>
      <diagonal/>
    </border>
    <border>
      <left style="thick">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ck">
        <color indexed="64"/>
      </right>
      <top style="mediumDashed">
        <color indexed="64"/>
      </top>
      <bottom style="thin">
        <color indexed="64"/>
      </bottom>
      <diagonal/>
    </border>
    <border>
      <left style="thin">
        <color indexed="64"/>
      </left>
      <right style="mediumDashed">
        <color indexed="64"/>
      </right>
      <top/>
      <bottom/>
      <diagonal/>
    </border>
    <border>
      <left/>
      <right style="dashed">
        <color indexed="64"/>
      </right>
      <top/>
      <bottom style="thin">
        <color auto="1"/>
      </bottom>
      <diagonal/>
    </border>
    <border>
      <left style="dashed">
        <color indexed="64"/>
      </left>
      <right style="dashed">
        <color indexed="64"/>
      </right>
      <top style="thin">
        <color indexed="64"/>
      </top>
      <bottom style="thick">
        <color indexed="64"/>
      </bottom>
      <diagonal/>
    </border>
    <border>
      <left style="dashed">
        <color indexed="64"/>
      </left>
      <right style="thick">
        <color indexed="64"/>
      </right>
      <top style="thin">
        <color indexed="64"/>
      </top>
      <bottom style="thin">
        <color indexed="64"/>
      </bottom>
      <diagonal/>
    </border>
    <border>
      <left style="dashed">
        <color indexed="64"/>
      </left>
      <right style="thick">
        <color indexed="64"/>
      </right>
      <top style="thin">
        <color indexed="64"/>
      </top>
      <bottom style="thick">
        <color indexed="64"/>
      </bottom>
      <diagonal/>
    </border>
    <border>
      <left/>
      <right style="mediumDashed">
        <color indexed="64"/>
      </right>
      <top style="thin">
        <color indexed="64"/>
      </top>
      <bottom style="thick">
        <color indexed="64"/>
      </bottom>
      <diagonal/>
    </border>
    <border>
      <left/>
      <right style="medium">
        <color indexed="64"/>
      </right>
      <top style="thin">
        <color indexed="64"/>
      </top>
      <bottom style="thick">
        <color indexed="64"/>
      </bottom>
      <diagonal/>
    </border>
    <border>
      <left style="dashed">
        <color indexed="64"/>
      </left>
      <right/>
      <top style="thin">
        <color indexed="64"/>
      </top>
      <bottom style="thick">
        <color indexed="64"/>
      </bottom>
      <diagonal/>
    </border>
    <border>
      <left style="dashed">
        <color indexed="64"/>
      </left>
      <right style="thick">
        <color indexed="64"/>
      </right>
      <top/>
      <bottom style="thin">
        <color indexed="64"/>
      </bottom>
      <diagonal/>
    </border>
    <border>
      <left style="dashed">
        <color indexed="64"/>
      </left>
      <right style="medium">
        <color indexed="64"/>
      </right>
      <top style="thin">
        <color indexed="64"/>
      </top>
      <bottom style="thick">
        <color indexed="64"/>
      </bottom>
      <diagonal/>
    </border>
    <border>
      <left style="dashed">
        <color indexed="64"/>
      </left>
      <right/>
      <top/>
      <bottom style="dashed">
        <color indexed="64"/>
      </bottom>
      <diagonal/>
    </border>
    <border>
      <left style="thick">
        <color indexed="64"/>
      </left>
      <right/>
      <top style="thin">
        <color indexed="64"/>
      </top>
      <bottom style="thick">
        <color indexed="64"/>
      </bottom>
      <diagonal/>
    </border>
    <border>
      <left style="thick">
        <color indexed="64"/>
      </left>
      <right/>
      <top/>
      <bottom style="mediumDashed">
        <color indexed="64"/>
      </bottom>
      <diagonal/>
    </border>
    <border>
      <left style="mediumDashed">
        <color indexed="64"/>
      </left>
      <right style="thin">
        <color indexed="64"/>
      </right>
      <top/>
      <bottom/>
      <diagonal/>
    </border>
    <border>
      <left/>
      <right style="dashed">
        <color indexed="64"/>
      </right>
      <top style="double">
        <color indexed="64"/>
      </top>
      <bottom/>
      <diagonal/>
    </border>
    <border>
      <left style="dashed">
        <color indexed="64"/>
      </left>
      <right style="thick">
        <color indexed="64"/>
      </right>
      <top style="double">
        <color indexed="64"/>
      </top>
      <bottom style="thin">
        <color indexed="64"/>
      </bottom>
      <diagonal/>
    </border>
    <border>
      <left/>
      <right style="thick">
        <color indexed="64"/>
      </right>
      <top style="double">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mediumDashed">
        <color indexed="64"/>
      </left>
      <right style="thin">
        <color indexed="64"/>
      </right>
      <top/>
      <bottom style="double">
        <color indexed="64"/>
      </bottom>
      <diagonal/>
    </border>
    <border>
      <left style="thin">
        <color indexed="64"/>
      </left>
      <right style="thick">
        <color indexed="64"/>
      </right>
      <top/>
      <bottom style="double">
        <color indexed="64"/>
      </bottom>
      <diagonal/>
    </border>
    <border>
      <left/>
      <right style="thin">
        <color auto="1"/>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ashDot">
        <color rgb="FF62AE9C"/>
      </left>
      <right style="dashDot">
        <color rgb="FF62AE9C"/>
      </right>
      <top style="thin">
        <color indexed="64"/>
      </top>
      <bottom style="thick">
        <color indexed="64"/>
      </bottom>
      <diagonal/>
    </border>
    <border>
      <left style="dashDot">
        <color rgb="FF62AE9C"/>
      </left>
      <right/>
      <top style="thin">
        <color indexed="64"/>
      </top>
      <bottom style="thick">
        <color indexed="64"/>
      </bottom>
      <diagonal/>
    </border>
    <border>
      <left/>
      <right style="dashDot">
        <color rgb="FF62AE9C"/>
      </right>
      <top style="thin">
        <color indexed="64"/>
      </top>
      <bottom style="thick">
        <color indexed="64"/>
      </bottom>
      <diagonal/>
    </border>
    <border>
      <left style="dashDot">
        <color rgb="FF62AE9C"/>
      </left>
      <right style="dashDot">
        <color rgb="FF62AE9C"/>
      </right>
      <top style="thin">
        <color indexed="64"/>
      </top>
      <bottom/>
      <diagonal/>
    </border>
    <border>
      <left style="dashDot">
        <color rgb="FF62AE9C"/>
      </left>
      <right/>
      <top style="thin">
        <color indexed="64"/>
      </top>
      <bottom/>
      <diagonal/>
    </border>
    <border>
      <left/>
      <right style="dashDot">
        <color rgb="FF62AE9C"/>
      </right>
      <top style="thin">
        <color indexed="64"/>
      </top>
      <bottom/>
      <diagonal/>
    </border>
    <border>
      <left style="dashDot">
        <color rgb="FF62AE9C"/>
      </left>
      <right style="dashDot">
        <color rgb="FF62AE9C"/>
      </right>
      <top style="mediumDashed">
        <color indexed="64"/>
      </top>
      <bottom style="thin">
        <color indexed="64"/>
      </bottom>
      <diagonal/>
    </border>
    <border>
      <left style="dashDot">
        <color rgb="FF62AE9C"/>
      </left>
      <right/>
      <top style="mediumDashed">
        <color indexed="64"/>
      </top>
      <bottom style="thin">
        <color indexed="64"/>
      </bottom>
      <diagonal/>
    </border>
    <border>
      <left/>
      <right style="dashDot">
        <color rgb="FF62AE9C"/>
      </right>
      <top style="mediumDashed">
        <color indexed="64"/>
      </top>
      <bottom style="thin">
        <color indexed="64"/>
      </bottom>
      <diagonal/>
    </border>
    <border>
      <left style="dashDot">
        <color rgb="FF62AE9C"/>
      </left>
      <right style="dashDot">
        <color rgb="FF62AE9C"/>
      </right>
      <top/>
      <bottom style="thin">
        <color indexed="64"/>
      </bottom>
      <diagonal/>
    </border>
    <border>
      <left style="dashDot">
        <color rgb="FF62AE9C"/>
      </left>
      <right/>
      <top/>
      <bottom style="thin">
        <color indexed="64"/>
      </bottom>
      <diagonal/>
    </border>
    <border>
      <left/>
      <right style="dashDot">
        <color rgb="FF62AE9C"/>
      </right>
      <top/>
      <bottom style="thin">
        <color indexed="64"/>
      </bottom>
      <diagonal/>
    </border>
    <border>
      <left/>
      <right/>
      <top style="dashDotDot">
        <color rgb="FF62AE9C"/>
      </top>
      <bottom style="dashDotDot">
        <color rgb="FF62AE9C"/>
      </bottom>
      <diagonal/>
    </border>
    <border>
      <left/>
      <right style="thick">
        <color indexed="64"/>
      </right>
      <top/>
      <bottom style="dashDotDot">
        <color rgb="FF62AE9C"/>
      </bottom>
      <diagonal/>
    </border>
    <border>
      <left/>
      <right style="thick">
        <color indexed="64"/>
      </right>
      <top/>
      <bottom/>
      <diagonal/>
    </border>
    <border>
      <left/>
      <right style="thick">
        <color indexed="64"/>
      </right>
      <top style="dashDotDot">
        <color rgb="FF62AE9C"/>
      </top>
      <bottom/>
      <diagonal/>
    </border>
    <border>
      <left/>
      <right/>
      <top style="dashDotDot">
        <color rgb="FF62AE9C"/>
      </top>
      <bottom/>
      <diagonal/>
    </border>
    <border>
      <left/>
      <right/>
      <top/>
      <bottom style="dashDotDot">
        <color rgb="FF62AE9C"/>
      </bottom>
      <diagonal/>
    </border>
    <border>
      <left/>
      <right style="dotted">
        <color indexed="64"/>
      </right>
      <top style="dashed">
        <color indexed="64"/>
      </top>
      <bottom style="dashed">
        <color indexed="64"/>
      </bottom>
      <diagonal/>
    </border>
    <border>
      <left/>
      <right/>
      <top style="dashDot">
        <color rgb="FF62AE9C"/>
      </top>
      <bottom style="dashDot">
        <color rgb="FF62AE9C"/>
      </bottom>
      <diagonal/>
    </border>
    <border>
      <left style="mediumDashed">
        <color indexed="64"/>
      </left>
      <right/>
      <top/>
      <bottom style="dashDot">
        <color rgb="FF62AE9C"/>
      </bottom>
      <diagonal/>
    </border>
    <border>
      <left/>
      <right style="mediumDashed">
        <color indexed="64"/>
      </right>
      <top/>
      <bottom style="dashDot">
        <color rgb="FF62AE9C"/>
      </bottom>
      <diagonal/>
    </border>
    <border>
      <left style="mediumDashed">
        <color indexed="64"/>
      </left>
      <right/>
      <top style="dashDot">
        <color rgb="FF62AE9C"/>
      </top>
      <bottom/>
      <diagonal/>
    </border>
    <border>
      <left/>
      <right style="mediumDashed">
        <color indexed="64"/>
      </right>
      <top style="dashDot">
        <color rgb="FF62AE9C"/>
      </top>
      <bottom/>
      <diagonal/>
    </border>
    <border>
      <left/>
      <right/>
      <top/>
      <bottom style="dashDot">
        <color rgb="FF62AE9C"/>
      </bottom>
      <diagonal/>
    </border>
    <border>
      <left/>
      <right/>
      <top style="dashDot">
        <color rgb="FF62AE9C"/>
      </top>
      <bottom/>
      <diagonal/>
    </border>
    <border>
      <left style="thick">
        <color indexed="64"/>
      </left>
      <right/>
      <top style="dashDot">
        <color rgb="FF62AE9C"/>
      </top>
      <bottom/>
      <diagonal/>
    </border>
    <border>
      <left style="thick">
        <color indexed="64"/>
      </left>
      <right/>
      <top/>
      <bottom style="dashDot">
        <color rgb="FF62AE9C"/>
      </bottom>
      <diagonal/>
    </border>
    <border>
      <left style="dashDot">
        <color rgb="FF62AE9C"/>
      </left>
      <right style="dashDot">
        <color rgb="FF62AE9C"/>
      </right>
      <top/>
      <bottom/>
      <diagonal/>
    </border>
    <border>
      <left/>
      <right style="thick">
        <color indexed="64"/>
      </right>
      <top style="dashDot">
        <color rgb="FF62AE9C"/>
      </top>
      <bottom/>
      <diagonal/>
    </border>
    <border>
      <left/>
      <right style="thick">
        <color indexed="64"/>
      </right>
      <top/>
      <bottom style="dashDot">
        <color rgb="FF62AE9C"/>
      </bottom>
      <diagonal/>
    </border>
    <border>
      <left style="dashDot">
        <color rgb="FF62AE9C"/>
      </left>
      <right style="dashDot">
        <color rgb="FF62AE9C"/>
      </right>
      <top style="dashed">
        <color indexed="64"/>
      </top>
      <bottom/>
      <diagonal/>
    </border>
    <border>
      <left style="mediumDashed">
        <color indexed="64"/>
      </left>
      <right/>
      <top style="dashDot">
        <color rgb="FF62AE9C"/>
      </top>
      <bottom style="dashDot">
        <color rgb="FF62AE9C"/>
      </bottom>
      <diagonal/>
    </border>
    <border>
      <left/>
      <right style="mediumDashed">
        <color indexed="64"/>
      </right>
      <top style="dashDot">
        <color rgb="FF62AE9C"/>
      </top>
      <bottom style="dashDot">
        <color rgb="FF62AE9C"/>
      </bottom>
      <diagonal/>
    </border>
    <border>
      <left style="dashDot">
        <color rgb="FF62AE9C"/>
      </left>
      <right/>
      <top style="thin">
        <color indexed="64"/>
      </top>
      <bottom style="mediumDashed">
        <color indexed="64"/>
      </bottom>
      <diagonal/>
    </border>
    <border>
      <left/>
      <right/>
      <top style="thin">
        <color indexed="64"/>
      </top>
      <bottom style="mediumDashed">
        <color indexed="64"/>
      </bottom>
      <diagonal/>
    </border>
    <border>
      <left/>
      <right style="dashDot">
        <color rgb="FF62AE9C"/>
      </right>
      <top style="thin">
        <color indexed="64"/>
      </top>
      <bottom style="mediumDashed">
        <color indexed="64"/>
      </bottom>
      <diagonal/>
    </border>
    <border>
      <left style="dashDot">
        <color rgb="FF62AE9C"/>
      </left>
      <right/>
      <top style="thin">
        <color indexed="64"/>
      </top>
      <bottom style="thin">
        <color indexed="64"/>
      </bottom>
      <diagonal/>
    </border>
    <border>
      <left/>
      <right style="dashDot">
        <color rgb="FF62AE9C"/>
      </right>
      <top style="thin">
        <color indexed="64"/>
      </top>
      <bottom style="thin">
        <color indexed="64"/>
      </bottom>
      <diagonal/>
    </border>
    <border>
      <left style="thick">
        <color indexed="64"/>
      </left>
      <right/>
      <top style="dashDot">
        <color rgb="FF62AE9C"/>
      </top>
      <bottom style="dashDot">
        <color rgb="FF62AE9C"/>
      </bottom>
      <diagonal/>
    </border>
    <border>
      <left style="dashed">
        <color indexed="64"/>
      </left>
      <right style="thick">
        <color indexed="64"/>
      </right>
      <top style="double">
        <color indexed="64"/>
      </top>
      <bottom/>
      <diagonal/>
    </border>
    <border>
      <left style="dashDot">
        <color rgb="FF62AE9C"/>
      </left>
      <right/>
      <top/>
      <bottom/>
      <diagonal/>
    </border>
    <border>
      <left/>
      <right style="dashDot">
        <color rgb="FF62AE9C"/>
      </right>
      <top/>
      <bottom/>
      <diagonal/>
    </border>
    <border>
      <left style="dashDot">
        <color rgb="FF62AE9C"/>
      </left>
      <right/>
      <top style="dashDot">
        <color rgb="FF62AE9C"/>
      </top>
      <bottom/>
      <diagonal/>
    </border>
    <border>
      <left/>
      <right style="dashDot">
        <color rgb="FF62AE9C"/>
      </right>
      <top style="dashDot">
        <color rgb="FF62AE9C"/>
      </top>
      <bottom/>
      <diagonal/>
    </border>
    <border>
      <left style="medium">
        <color indexed="64"/>
      </left>
      <right/>
      <top/>
      <bottom style="mediumDashed">
        <color indexed="64"/>
      </bottom>
      <diagonal/>
    </border>
    <border>
      <left/>
      <right style="thick">
        <color indexed="64"/>
      </right>
      <top style="dashDot">
        <color rgb="FF62AE9C"/>
      </top>
      <bottom style="dashDot">
        <color rgb="FF62AE9C"/>
      </bottom>
      <diagonal/>
    </border>
    <border>
      <left style="dashed">
        <color indexed="64"/>
      </left>
      <right/>
      <top style="dashDot">
        <color rgb="FF62AE9C"/>
      </top>
      <bottom style="dashDot">
        <color rgb="FF62AE9C"/>
      </bottom>
      <diagonal/>
    </border>
    <border>
      <left style="thick">
        <color indexed="64"/>
      </left>
      <right style="thin">
        <color indexed="64"/>
      </right>
      <top style="double">
        <color indexed="64"/>
      </top>
      <bottom style="thin">
        <color indexed="64"/>
      </bottom>
      <diagonal/>
    </border>
    <border>
      <left style="dashed">
        <color indexed="64"/>
      </left>
      <right style="thin">
        <color indexed="64"/>
      </right>
      <top style="double">
        <color indexed="64"/>
      </top>
      <bottom style="thin">
        <color indexed="64"/>
      </bottom>
      <diagonal/>
    </border>
    <border>
      <left style="dashed">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s>
  <cellStyleXfs count="8">
    <xf numFmtId="0" fontId="0" fillId="0" borderId="0"/>
    <xf numFmtId="0" fontId="3" fillId="0" borderId="0" applyNumberForma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24" fillId="0" borderId="0" applyNumberFormat="0" applyFont="0" applyFill="0" applyBorder="0" applyAlignment="0" applyProtection="0"/>
    <xf numFmtId="0" fontId="26" fillId="0" borderId="0" applyNumberFormat="0" applyFont="0" applyFill="0" applyBorder="0" applyAlignment="0" applyProtection="0"/>
  </cellStyleXfs>
  <cellXfs count="1589">
    <xf numFmtId="0" fontId="0" fillId="0" borderId="0" xfId="0"/>
    <xf numFmtId="0" fontId="2" fillId="0" borderId="1" xfId="0" applyFont="1" applyBorder="1" applyAlignment="1">
      <alignment horizontal="left" vertical="top" wrapText="1"/>
    </xf>
    <xf numFmtId="0" fontId="6" fillId="2" borderId="1" xfId="0" applyFont="1" applyFill="1" applyBorder="1" applyAlignment="1">
      <alignment horizontal="left" vertical="top" wrapText="1"/>
    </xf>
    <xf numFmtId="165" fontId="6" fillId="2" borderId="1" xfId="0" applyNumberFormat="1" applyFont="1" applyFill="1" applyBorder="1" applyAlignment="1">
      <alignment horizontal="left" vertical="top" wrapText="1"/>
    </xf>
    <xf numFmtId="0" fontId="2" fillId="0" borderId="0" xfId="0" applyFont="1"/>
    <xf numFmtId="0" fontId="4" fillId="0" borderId="0" xfId="0" applyFont="1"/>
    <xf numFmtId="0" fontId="10" fillId="0" borderId="1" xfId="0" applyFont="1" applyBorder="1" applyAlignment="1">
      <alignment horizontal="left" vertical="top" wrapText="1"/>
    </xf>
    <xf numFmtId="0" fontId="0" fillId="0" borderId="1" xfId="0" applyBorder="1"/>
    <xf numFmtId="0" fontId="4" fillId="0" borderId="1" xfId="0" applyFont="1" applyBorder="1" applyAlignment="1">
      <alignment horizontal="center" vertical="center" wrapText="1"/>
    </xf>
    <xf numFmtId="0" fontId="8" fillId="0" borderId="1" xfId="0" applyFont="1" applyBorder="1" applyAlignment="1">
      <alignment horizontal="left" vertical="top" wrapText="1"/>
    </xf>
    <xf numFmtId="0" fontId="2" fillId="4" borderId="1" xfId="0"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xf numFmtId="0" fontId="2" fillId="11"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horizontal="center" vertical="center" wrapText="1"/>
    </xf>
    <xf numFmtId="0" fontId="6" fillId="11" borderId="1" xfId="0" applyFont="1" applyFill="1" applyBorder="1" applyAlignment="1">
      <alignment horizontal="left" vertical="top"/>
    </xf>
    <xf numFmtId="0" fontId="6" fillId="11" borderId="1" xfId="0" applyFont="1" applyFill="1" applyBorder="1" applyAlignment="1">
      <alignment horizontal="left" wrapText="1"/>
    </xf>
    <xf numFmtId="0" fontId="4" fillId="11" borderId="1" xfId="0" applyFont="1" applyFill="1" applyBorder="1" applyAlignment="1">
      <alignment horizontal="left" wrapText="1"/>
    </xf>
    <xf numFmtId="0" fontId="2" fillId="11" borderId="1" xfId="0" applyFont="1" applyFill="1" applyBorder="1" applyAlignment="1">
      <alignment horizontal="left" wrapText="1"/>
    </xf>
    <xf numFmtId="0" fontId="10" fillId="11" borderId="1" xfId="0" applyFont="1" applyFill="1" applyBorder="1" applyAlignment="1">
      <alignment horizontal="left" wrapText="1"/>
    </xf>
    <xf numFmtId="165" fontId="2" fillId="11" borderId="1" xfId="0" applyNumberFormat="1" applyFont="1" applyFill="1" applyBorder="1" applyAlignment="1">
      <alignment horizontal="left" wrapText="1"/>
    </xf>
    <xf numFmtId="0" fontId="4" fillId="11" borderId="1" xfId="0" applyFont="1" applyFill="1" applyBorder="1" applyAlignment="1">
      <alignment horizontal="center" wrapText="1"/>
    </xf>
    <xf numFmtId="165" fontId="2" fillId="11" borderId="1" xfId="0" applyNumberFormat="1" applyFont="1" applyFill="1" applyBorder="1" applyAlignment="1">
      <alignment horizontal="right" vertical="top" wrapText="1"/>
    </xf>
    <xf numFmtId="0" fontId="2" fillId="0" borderId="1" xfId="0" applyFont="1" applyBorder="1" applyAlignment="1">
      <alignment vertical="top"/>
    </xf>
    <xf numFmtId="0" fontId="2" fillId="10" borderId="1" xfId="0" applyFont="1" applyFill="1" applyBorder="1" applyAlignment="1">
      <alignment vertical="top" wrapText="1"/>
    </xf>
    <xf numFmtId="0" fontId="8" fillId="0" borderId="1" xfId="0" applyFont="1" applyBorder="1" applyAlignment="1">
      <alignment vertical="top" wrapText="1"/>
    </xf>
    <xf numFmtId="165" fontId="8" fillId="11" borderId="1" xfId="0" applyNumberFormat="1" applyFont="1" applyFill="1" applyBorder="1" applyAlignment="1">
      <alignment horizontal="left" vertical="top" wrapText="1"/>
    </xf>
    <xf numFmtId="0" fontId="8" fillId="11" borderId="1" xfId="0" applyFont="1" applyFill="1" applyBorder="1" applyAlignment="1">
      <alignment horizontal="left" vertical="top" wrapText="1"/>
    </xf>
    <xf numFmtId="0" fontId="8" fillId="0" borderId="1" xfId="0" applyFont="1" applyBorder="1" applyAlignment="1">
      <alignment vertical="top"/>
    </xf>
    <xf numFmtId="0" fontId="6" fillId="2" borderId="1" xfId="0" applyFont="1" applyFill="1" applyBorder="1" applyAlignment="1">
      <alignment horizontal="center" vertical="top" wrapText="1"/>
    </xf>
    <xf numFmtId="0" fontId="8" fillId="10" borderId="1" xfId="0" applyFont="1" applyFill="1" applyBorder="1" applyAlignment="1">
      <alignment horizontal="left" vertical="top" wrapText="1"/>
    </xf>
    <xf numFmtId="0" fontId="2" fillId="0" borderId="1" xfId="0" applyFont="1" applyBorder="1" applyAlignment="1">
      <alignment wrapText="1"/>
    </xf>
    <xf numFmtId="0" fontId="12" fillId="11" borderId="1" xfId="0" applyFont="1" applyFill="1" applyBorder="1" applyAlignment="1">
      <alignment horizontal="left" vertical="top" wrapText="1"/>
    </xf>
    <xf numFmtId="165" fontId="8" fillId="11" borderId="1" xfId="0" applyNumberFormat="1" applyFont="1" applyFill="1" applyBorder="1" applyAlignment="1">
      <alignment horizontal="right" vertical="top" wrapText="1"/>
    </xf>
    <xf numFmtId="0" fontId="10" fillId="10" borderId="1" xfId="0" applyFont="1" applyFill="1" applyBorder="1" applyAlignment="1">
      <alignment horizontal="left" vertical="top" wrapText="1"/>
    </xf>
    <xf numFmtId="0" fontId="6" fillId="11" borderId="1" xfId="0" applyFont="1" applyFill="1" applyBorder="1" applyAlignment="1">
      <alignment vertical="top" wrapText="1"/>
    </xf>
    <xf numFmtId="0" fontId="4" fillId="11" borderId="1" xfId="0" applyFont="1" applyFill="1" applyBorder="1" applyAlignment="1">
      <alignment vertical="top" wrapText="1"/>
    </xf>
    <xf numFmtId="0" fontId="2" fillId="11" borderId="1" xfId="0" applyFont="1" applyFill="1" applyBorder="1" applyAlignment="1">
      <alignment vertical="top" wrapText="1"/>
    </xf>
    <xf numFmtId="0" fontId="10" fillId="11" borderId="1" xfId="0" applyFont="1" applyFill="1" applyBorder="1" applyAlignment="1">
      <alignment vertical="top" wrapText="1"/>
    </xf>
    <xf numFmtId="165" fontId="2" fillId="11" borderId="1" xfId="0" applyNumberFormat="1" applyFont="1" applyFill="1" applyBorder="1" applyAlignment="1">
      <alignment vertical="top" wrapText="1"/>
    </xf>
    <xf numFmtId="165" fontId="8" fillId="11" borderId="1" xfId="0" applyNumberFormat="1" applyFont="1" applyFill="1" applyBorder="1" applyAlignment="1">
      <alignment vertical="top" wrapText="1"/>
    </xf>
    <xf numFmtId="0" fontId="8" fillId="11" borderId="1" xfId="0" applyFont="1" applyFill="1" applyBorder="1" applyAlignment="1">
      <alignment vertical="top" wrapText="1"/>
    </xf>
    <xf numFmtId="0" fontId="6" fillId="11" borderId="1" xfId="0" applyFont="1" applyFill="1" applyBorder="1" applyAlignment="1">
      <alignment vertical="top"/>
    </xf>
    <xf numFmtId="165" fontId="6" fillId="11" borderId="1" xfId="0" applyNumberFormat="1" applyFont="1" applyFill="1" applyBorder="1" applyAlignment="1">
      <alignment horizontal="left" vertical="top" wrapText="1"/>
    </xf>
    <xf numFmtId="6" fontId="2" fillId="0" borderId="1" xfId="0" applyNumberFormat="1" applyFont="1" applyBorder="1" applyAlignment="1">
      <alignment horizontal="right" vertical="top" wrapText="1"/>
    </xf>
    <xf numFmtId="0" fontId="2" fillId="0" borderId="1" xfId="0" applyFont="1" applyBorder="1" applyAlignment="1">
      <alignment horizontal="right" vertical="top" wrapText="1"/>
    </xf>
    <xf numFmtId="0" fontId="4" fillId="10" borderId="1" xfId="0" applyFont="1" applyFill="1" applyBorder="1" applyAlignment="1">
      <alignment horizontal="center" vertical="center" wrapText="1"/>
    </xf>
    <xf numFmtId="6" fontId="10" fillId="0" borderId="1" xfId="0" applyNumberFormat="1" applyFont="1" applyBorder="1" applyAlignment="1">
      <alignment horizontal="right" vertical="top" wrapText="1"/>
    </xf>
    <xf numFmtId="0" fontId="10" fillId="10" borderId="1" xfId="0" applyFont="1" applyFill="1" applyBorder="1" applyAlignment="1">
      <alignment vertical="top" wrapText="1"/>
    </xf>
    <xf numFmtId="0" fontId="10" fillId="0" borderId="1" xfId="0" applyFont="1" applyBorder="1" applyAlignment="1">
      <alignment vertical="top" wrapText="1"/>
    </xf>
    <xf numFmtId="0" fontId="4" fillId="11" borderId="1" xfId="0" applyFont="1" applyFill="1" applyBorder="1" applyAlignment="1">
      <alignment horizontal="right" vertical="top" wrapText="1"/>
    </xf>
    <xf numFmtId="0" fontId="6" fillId="11" borderId="1" xfId="0" applyFont="1" applyFill="1" applyBorder="1" applyAlignment="1">
      <alignment horizontal="left" vertical="top" wrapText="1"/>
    </xf>
    <xf numFmtId="165" fontId="2" fillId="11" borderId="1" xfId="0" applyNumberFormat="1" applyFont="1" applyFill="1" applyBorder="1" applyAlignment="1">
      <alignment horizontal="right" wrapText="1"/>
    </xf>
    <xf numFmtId="0" fontId="6" fillId="2" borderId="7" xfId="0" applyFont="1" applyFill="1" applyBorder="1" applyAlignment="1">
      <alignment horizontal="left" vertical="top" wrapText="1"/>
    </xf>
    <xf numFmtId="0" fontId="15" fillId="0" borderId="1" xfId="0" applyFont="1" applyBorder="1" applyAlignment="1">
      <alignment horizontal="left" vertical="top" wrapText="1"/>
    </xf>
    <xf numFmtId="0" fontId="13" fillId="5" borderId="1" xfId="0" applyFont="1" applyFill="1" applyBorder="1" applyAlignment="1">
      <alignment horizontal="left" vertical="top" wrapText="1"/>
    </xf>
    <xf numFmtId="165" fontId="10" fillId="0" borderId="1" xfId="0" applyNumberFormat="1" applyFont="1" applyBorder="1" applyAlignment="1">
      <alignment horizontal="right" vertical="top" wrapText="1"/>
    </xf>
    <xf numFmtId="0" fontId="18" fillId="0" borderId="0" xfId="0" applyFont="1"/>
    <xf numFmtId="6" fontId="10" fillId="0" borderId="1" xfId="0" applyNumberFormat="1" applyFont="1" applyBorder="1" applyAlignment="1">
      <alignment vertical="top" wrapText="1"/>
    </xf>
    <xf numFmtId="0" fontId="6" fillId="11" borderId="7" xfId="0" applyFont="1" applyFill="1" applyBorder="1" applyAlignment="1">
      <alignment vertical="top" wrapText="1"/>
    </xf>
    <xf numFmtId="6" fontId="2" fillId="0" borderId="1" xfId="0" applyNumberFormat="1" applyFont="1" applyBorder="1" applyAlignment="1">
      <alignment vertical="top" wrapText="1"/>
    </xf>
    <xf numFmtId="0" fontId="6" fillId="11" borderId="1" xfId="0" applyFont="1" applyFill="1" applyBorder="1" applyAlignment="1">
      <alignment horizontal="left"/>
    </xf>
    <xf numFmtId="0" fontId="6" fillId="11" borderId="4" xfId="0" applyFont="1" applyFill="1" applyBorder="1" applyAlignment="1">
      <alignment horizontal="left" vertical="top" wrapText="1"/>
    </xf>
    <xf numFmtId="0" fontId="6" fillId="11" borderId="12" xfId="0" applyFont="1" applyFill="1" applyBorder="1" applyAlignment="1">
      <alignment horizontal="left" vertical="top" wrapText="1"/>
    </xf>
    <xf numFmtId="0" fontId="6" fillId="11" borderId="7" xfId="0" applyFont="1" applyFill="1" applyBorder="1" applyAlignment="1">
      <alignment horizontal="left" vertical="top" wrapText="1"/>
    </xf>
    <xf numFmtId="0" fontId="7" fillId="7" borderId="1" xfId="0" applyFont="1" applyFill="1" applyBorder="1" applyAlignment="1">
      <alignment horizontal="center" vertical="top" wrapText="1"/>
    </xf>
    <xf numFmtId="0" fontId="7" fillId="4" borderId="1" xfId="0" applyFont="1" applyFill="1" applyBorder="1" applyAlignment="1">
      <alignment horizontal="center" vertical="top" wrapText="1"/>
    </xf>
    <xf numFmtId="0" fontId="19" fillId="7" borderId="1" xfId="0" applyFont="1" applyFill="1" applyBorder="1" applyAlignment="1">
      <alignment horizontal="center" vertical="top" wrapText="1"/>
    </xf>
    <xf numFmtId="0" fontId="19" fillId="7" borderId="1" xfId="0" applyFont="1" applyFill="1" applyBorder="1" applyAlignment="1">
      <alignment horizontal="center" vertical="top"/>
    </xf>
    <xf numFmtId="0" fontId="19" fillId="4" borderId="1" xfId="0" applyFont="1" applyFill="1" applyBorder="1" applyAlignment="1">
      <alignment horizontal="center" vertical="top" wrapText="1"/>
    </xf>
    <xf numFmtId="0" fontId="19" fillId="0" borderId="0" xfId="0" applyFont="1"/>
    <xf numFmtId="3" fontId="20" fillId="7" borderId="1" xfId="0" applyNumberFormat="1" applyFont="1" applyFill="1" applyBorder="1" applyAlignment="1">
      <alignment horizontal="center" vertical="top" wrapText="1"/>
    </xf>
    <xf numFmtId="0" fontId="20" fillId="7" borderId="1" xfId="0" applyFont="1" applyFill="1" applyBorder="1" applyAlignment="1">
      <alignment horizontal="center" vertical="top"/>
    </xf>
    <xf numFmtId="0" fontId="20" fillId="4" borderId="1" xfId="0" applyFont="1" applyFill="1" applyBorder="1" applyAlignment="1">
      <alignment horizontal="center" vertical="top" wrapText="1"/>
    </xf>
    <xf numFmtId="0" fontId="9" fillId="0" borderId="0" xfId="0" applyFont="1"/>
    <xf numFmtId="3" fontId="20" fillId="0" borderId="0" xfId="0" applyNumberFormat="1" applyFont="1" applyAlignment="1">
      <alignment horizontal="center" vertical="top" wrapText="1"/>
    </xf>
    <xf numFmtId="0" fontId="20" fillId="0" borderId="0" xfId="0" applyFont="1" applyAlignment="1">
      <alignment horizontal="center" vertical="top"/>
    </xf>
    <xf numFmtId="3" fontId="20" fillId="0" borderId="0" xfId="0" applyNumberFormat="1" applyFont="1" applyAlignment="1">
      <alignment vertical="top"/>
    </xf>
    <xf numFmtId="6" fontId="4" fillId="13" borderId="1" xfId="0" applyNumberFormat="1" applyFont="1" applyFill="1" applyBorder="1" applyAlignment="1">
      <alignment horizontal="center" vertical="center" wrapText="1"/>
    </xf>
    <xf numFmtId="9" fontId="7" fillId="0" borderId="0" xfId="4" applyFont="1" applyFill="1" applyBorder="1" applyAlignment="1">
      <alignment horizontal="center" vertical="top"/>
    </xf>
    <xf numFmtId="9" fontId="0" fillId="0" borderId="0" xfId="4" applyFont="1"/>
    <xf numFmtId="3" fontId="9" fillId="0" borderId="0" xfId="0" applyNumberFormat="1" applyFont="1"/>
    <xf numFmtId="165" fontId="4" fillId="13" borderId="1" xfId="0" applyNumberFormat="1" applyFont="1" applyFill="1" applyBorder="1" applyAlignment="1">
      <alignment horizontal="center" vertical="center" wrapText="1"/>
    </xf>
    <xf numFmtId="0" fontId="5" fillId="13" borderId="1" xfId="0" applyFont="1" applyFill="1" applyBorder="1" applyAlignment="1">
      <alignment horizontal="center" vertical="center" wrapText="1"/>
    </xf>
    <xf numFmtId="9" fontId="1" fillId="0" borderId="0" xfId="4" applyFont="1" applyAlignment="1"/>
    <xf numFmtId="9" fontId="0" fillId="0" borderId="0" xfId="0" applyNumberFormat="1"/>
    <xf numFmtId="6" fontId="4" fillId="6" borderId="1" xfId="0" applyNumberFormat="1" applyFont="1" applyFill="1" applyBorder="1" applyAlignment="1">
      <alignment horizontal="center" vertical="center" wrapText="1"/>
    </xf>
    <xf numFmtId="6" fontId="5" fillId="6" borderId="1" xfId="0" applyNumberFormat="1" applyFont="1" applyFill="1" applyBorder="1" applyAlignment="1">
      <alignment horizontal="center" vertical="center" wrapText="1"/>
    </xf>
    <xf numFmtId="0" fontId="2" fillId="0" borderId="1" xfId="0" applyFont="1" applyBorder="1" applyAlignment="1">
      <alignment horizontal="center" vertical="top" wrapText="1"/>
    </xf>
    <xf numFmtId="0" fontId="18" fillId="0" borderId="1" xfId="0" applyFont="1" applyBorder="1" applyAlignment="1">
      <alignment horizontal="left" vertical="top" wrapText="1"/>
    </xf>
    <xf numFmtId="0" fontId="18" fillId="0" borderId="1" xfId="0" applyFont="1" applyBorder="1"/>
    <xf numFmtId="165" fontId="6" fillId="2" borderId="7" xfId="0" applyNumberFormat="1" applyFont="1" applyFill="1" applyBorder="1" applyAlignment="1">
      <alignment horizontal="left" vertical="top" wrapText="1"/>
    </xf>
    <xf numFmtId="0" fontId="6" fillId="2" borderId="13" xfId="0" applyFont="1" applyFill="1" applyBorder="1" applyAlignment="1">
      <alignment horizontal="left" vertical="top" wrapText="1"/>
    </xf>
    <xf numFmtId="0" fontId="2" fillId="0" borderId="13" xfId="0" applyFont="1" applyBorder="1" applyAlignment="1">
      <alignment horizontal="left" vertical="top" wrapText="1"/>
    </xf>
    <xf numFmtId="0" fontId="2" fillId="0" borderId="13" xfId="0" applyFont="1" applyBorder="1" applyAlignment="1">
      <alignment vertical="top"/>
    </xf>
    <xf numFmtId="0" fontId="2" fillId="0" borderId="7" xfId="0" applyFont="1" applyBorder="1" applyAlignment="1">
      <alignment horizontal="left" vertical="top" wrapText="1"/>
    </xf>
    <xf numFmtId="0" fontId="21" fillId="0" borderId="1" xfId="0" applyFont="1" applyBorder="1" applyAlignment="1">
      <alignment horizontal="left" vertical="top" wrapText="1"/>
    </xf>
    <xf numFmtId="0" fontId="8" fillId="4" borderId="1" xfId="0" applyFont="1" applyFill="1" applyBorder="1" applyAlignment="1">
      <alignment horizontal="left" vertical="top" wrapText="1"/>
    </xf>
    <xf numFmtId="0" fontId="8" fillId="4" borderId="1" xfId="0" applyFont="1" applyFill="1" applyBorder="1" applyAlignment="1">
      <alignment vertical="top"/>
    </xf>
    <xf numFmtId="0" fontId="10" fillId="0" borderId="7" xfId="0" applyFont="1" applyBorder="1" applyAlignment="1">
      <alignment horizontal="left" vertical="top" wrapText="1"/>
    </xf>
    <xf numFmtId="0" fontId="2" fillId="0" borderId="7" xfId="0" applyFont="1" applyBorder="1" applyAlignment="1">
      <alignment vertical="top"/>
    </xf>
    <xf numFmtId="165" fontId="6" fillId="2" borderId="13" xfId="0" applyNumberFormat="1" applyFont="1" applyFill="1" applyBorder="1" applyAlignment="1">
      <alignment horizontal="left" vertical="top" wrapText="1"/>
    </xf>
    <xf numFmtId="0" fontId="8" fillId="0" borderId="13" xfId="0" applyFont="1" applyBorder="1" applyAlignment="1">
      <alignment horizontal="left" vertical="top" wrapText="1"/>
    </xf>
    <xf numFmtId="0" fontId="8" fillId="0" borderId="13" xfId="0" applyFont="1" applyBorder="1" applyAlignment="1">
      <alignment vertical="top"/>
    </xf>
    <xf numFmtId="0" fontId="8" fillId="4" borderId="13" xfId="0" applyFont="1" applyFill="1" applyBorder="1" applyAlignment="1">
      <alignment vertical="top"/>
    </xf>
    <xf numFmtId="0" fontId="6" fillId="8" borderId="7" xfId="0" applyFont="1" applyFill="1" applyBorder="1" applyAlignment="1">
      <alignment horizontal="center" vertical="top" wrapText="1"/>
    </xf>
    <xf numFmtId="0" fontId="5" fillId="13" borderId="7" xfId="0" applyFont="1" applyFill="1" applyBorder="1" applyAlignment="1">
      <alignment horizontal="center" vertical="center" wrapText="1"/>
    </xf>
    <xf numFmtId="0" fontId="2" fillId="0" borderId="7" xfId="0" applyFont="1" applyBorder="1"/>
    <xf numFmtId="0" fontId="10" fillId="0" borderId="13" xfId="0" applyFont="1" applyBorder="1" applyAlignment="1">
      <alignment horizontal="left" vertical="top" wrapText="1"/>
    </xf>
    <xf numFmtId="165" fontId="4" fillId="0" borderId="14" xfId="0" applyNumberFormat="1" applyFont="1" applyBorder="1"/>
    <xf numFmtId="165" fontId="10" fillId="14" borderId="7" xfId="0" applyNumberFormat="1" applyFont="1" applyFill="1" applyBorder="1" applyAlignment="1">
      <alignment horizontal="right" vertical="top" wrapText="1"/>
    </xf>
    <xf numFmtId="165" fontId="10" fillId="14" borderId="1" xfId="0" applyNumberFormat="1" applyFont="1" applyFill="1" applyBorder="1" applyAlignment="1">
      <alignment horizontal="right" vertical="top" wrapText="1"/>
    </xf>
    <xf numFmtId="6" fontId="10" fillId="14" borderId="7" xfId="0" applyNumberFormat="1" applyFont="1" applyFill="1" applyBorder="1" applyAlignment="1">
      <alignment horizontal="right" vertical="top" wrapText="1"/>
    </xf>
    <xf numFmtId="6" fontId="10" fillId="14" borderId="1" xfId="0" applyNumberFormat="1" applyFont="1" applyFill="1" applyBorder="1" applyAlignment="1">
      <alignment horizontal="left" vertical="top" wrapText="1"/>
    </xf>
    <xf numFmtId="0" fontId="2" fillId="14" borderId="7" xfId="0" applyFont="1" applyFill="1" applyBorder="1" applyAlignment="1">
      <alignment horizontal="right" vertical="top" wrapText="1"/>
    </xf>
    <xf numFmtId="0" fontId="2" fillId="14" borderId="1" xfId="0" applyFont="1" applyFill="1" applyBorder="1" applyAlignment="1">
      <alignment vertical="top" wrapText="1"/>
    </xf>
    <xf numFmtId="165" fontId="8" fillId="14" borderId="1" xfId="0" applyNumberFormat="1" applyFont="1" applyFill="1" applyBorder="1" applyAlignment="1">
      <alignment horizontal="left" vertical="top" wrapText="1"/>
    </xf>
    <xf numFmtId="6" fontId="10" fillId="14" borderId="1" xfId="0" applyNumberFormat="1" applyFont="1" applyFill="1" applyBorder="1" applyAlignment="1">
      <alignment horizontal="right" vertical="top" wrapText="1"/>
    </xf>
    <xf numFmtId="0" fontId="2" fillId="14" borderId="1" xfId="0" applyFont="1" applyFill="1" applyBorder="1" applyAlignment="1">
      <alignment vertical="top"/>
    </xf>
    <xf numFmtId="0" fontId="6" fillId="2" borderId="13" xfId="0" applyFont="1" applyFill="1" applyBorder="1" applyAlignment="1">
      <alignment horizontal="center" vertical="top" wrapText="1"/>
    </xf>
    <xf numFmtId="165" fontId="2" fillId="0" borderId="0" xfId="0" applyNumberFormat="1" applyFont="1"/>
    <xf numFmtId="165" fontId="6" fillId="2" borderId="1" xfId="0" applyNumberFormat="1" applyFont="1" applyFill="1" applyBorder="1" applyAlignment="1">
      <alignment vertical="top" wrapText="1"/>
    </xf>
    <xf numFmtId="165" fontId="6" fillId="11" borderId="1" xfId="0" applyNumberFormat="1" applyFont="1" applyFill="1" applyBorder="1" applyAlignment="1">
      <alignment vertical="top" wrapText="1"/>
    </xf>
    <xf numFmtId="6" fontId="2" fillId="14" borderId="1" xfId="0" applyNumberFormat="1" applyFont="1" applyFill="1" applyBorder="1" applyAlignment="1">
      <alignment horizontal="right" vertical="top" wrapText="1"/>
    </xf>
    <xf numFmtId="0" fontId="2" fillId="14" borderId="1" xfId="0" applyFont="1" applyFill="1" applyBorder="1" applyAlignment="1">
      <alignment horizontal="right" vertical="top" wrapText="1"/>
    </xf>
    <xf numFmtId="6" fontId="10" fillId="14" borderId="1" xfId="0" applyNumberFormat="1" applyFont="1" applyFill="1" applyBorder="1" applyAlignment="1">
      <alignment vertical="top" wrapText="1"/>
    </xf>
    <xf numFmtId="0" fontId="6" fillId="11" borderId="13" xfId="0" applyFont="1" applyFill="1" applyBorder="1" applyAlignment="1">
      <alignment horizontal="left" vertical="top" wrapText="1"/>
    </xf>
    <xf numFmtId="0" fontId="4" fillId="11" borderId="13" xfId="0" applyFont="1" applyFill="1" applyBorder="1" applyAlignment="1">
      <alignment horizontal="left" vertical="top" wrapText="1"/>
    </xf>
    <xf numFmtId="6" fontId="10" fillId="0" borderId="13" xfId="0" applyNumberFormat="1" applyFont="1" applyBorder="1" applyAlignment="1">
      <alignment horizontal="right" vertical="top" wrapText="1"/>
    </xf>
    <xf numFmtId="0" fontId="2" fillId="0" borderId="13" xfId="0" applyFont="1" applyBorder="1" applyAlignment="1">
      <alignment horizontal="right" vertical="top" wrapText="1"/>
    </xf>
    <xf numFmtId="0" fontId="2" fillId="0" borderId="7" xfId="0" applyFont="1" applyBorder="1" applyAlignment="1">
      <alignment vertical="top" wrapText="1"/>
    </xf>
    <xf numFmtId="0" fontId="4" fillId="0" borderId="7" xfId="0" applyFont="1" applyBorder="1" applyAlignment="1">
      <alignment horizontal="center" vertical="center" wrapText="1"/>
    </xf>
    <xf numFmtId="0" fontId="4" fillId="11" borderId="7" xfId="0" applyFont="1" applyFill="1" applyBorder="1" applyAlignment="1">
      <alignment horizontal="center" vertical="center" wrapText="1"/>
    </xf>
    <xf numFmtId="0" fontId="2" fillId="0" borderId="13" xfId="0" applyFont="1" applyBorder="1" applyAlignment="1">
      <alignment vertical="top" wrapText="1"/>
    </xf>
    <xf numFmtId="0" fontId="16" fillId="11" borderId="1" xfId="0" applyFont="1" applyFill="1" applyBorder="1" applyAlignment="1">
      <alignment horizontal="left" vertical="top" wrapText="1"/>
    </xf>
    <xf numFmtId="0" fontId="18" fillId="10" borderId="1" xfId="0" applyFont="1" applyFill="1" applyBorder="1" applyAlignment="1">
      <alignment vertical="top" wrapText="1"/>
    </xf>
    <xf numFmtId="0" fontId="17" fillId="10" borderId="1" xfId="0" applyFont="1" applyFill="1" applyBorder="1" applyAlignment="1">
      <alignment vertical="top" wrapText="1"/>
    </xf>
    <xf numFmtId="0" fontId="18" fillId="11" borderId="1" xfId="0" applyFont="1" applyFill="1" applyBorder="1" applyAlignment="1">
      <alignment vertical="top" wrapText="1"/>
    </xf>
    <xf numFmtId="0" fontId="18" fillId="0" borderId="1" xfId="0" applyFont="1" applyBorder="1" applyAlignment="1">
      <alignment vertical="top" wrapText="1"/>
    </xf>
    <xf numFmtId="0" fontId="25" fillId="11" borderId="1" xfId="0" applyFont="1" applyFill="1" applyBorder="1" applyAlignment="1">
      <alignment vertical="top" wrapText="1"/>
    </xf>
    <xf numFmtId="6" fontId="14" fillId="11" borderId="1" xfId="0" applyNumberFormat="1" applyFont="1" applyFill="1" applyBorder="1" applyAlignment="1">
      <alignment vertical="top" wrapText="1"/>
    </xf>
    <xf numFmtId="8" fontId="4" fillId="6" borderId="1" xfId="0" applyNumberFormat="1" applyFont="1" applyFill="1" applyBorder="1" applyAlignment="1">
      <alignment horizontal="center" vertical="center" wrapText="1"/>
    </xf>
    <xf numFmtId="165" fontId="8" fillId="14" borderId="1" xfId="0" applyNumberFormat="1" applyFont="1" applyFill="1" applyBorder="1" applyAlignment="1">
      <alignment horizontal="right" vertical="top" wrapText="1"/>
    </xf>
    <xf numFmtId="0" fontId="18" fillId="11" borderId="1" xfId="0" applyFont="1" applyFill="1" applyBorder="1" applyAlignment="1">
      <alignment horizontal="left" vertical="top" wrapText="1"/>
    </xf>
    <xf numFmtId="0" fontId="10" fillId="5" borderId="1" xfId="0" applyFont="1" applyFill="1" applyBorder="1" applyAlignment="1">
      <alignment horizontal="left" vertical="top" wrapText="1"/>
    </xf>
    <xf numFmtId="0" fontId="12" fillId="5" borderId="1" xfId="0" applyFont="1" applyFill="1" applyBorder="1" applyAlignment="1">
      <alignment horizontal="left" vertical="top" wrapText="1"/>
    </xf>
    <xf numFmtId="165" fontId="10" fillId="14" borderId="1" xfId="0" applyNumberFormat="1" applyFont="1" applyFill="1" applyBorder="1" applyAlignment="1">
      <alignment horizontal="left" vertical="top" wrapText="1"/>
    </xf>
    <xf numFmtId="0" fontId="21" fillId="11" borderId="1" xfId="0" applyFont="1" applyFill="1" applyBorder="1" applyAlignment="1">
      <alignment horizontal="left" vertical="top" wrapText="1"/>
    </xf>
    <xf numFmtId="0" fontId="4" fillId="0" borderId="1" xfId="0" applyFont="1" applyBorder="1" applyAlignment="1">
      <alignment horizontal="right" vertical="top" wrapText="1"/>
    </xf>
    <xf numFmtId="0" fontId="11" fillId="11" borderId="1" xfId="0" applyFont="1" applyFill="1" applyBorder="1" applyAlignment="1">
      <alignment horizontal="right" vertical="top" wrapText="1"/>
    </xf>
    <xf numFmtId="0" fontId="2" fillId="11" borderId="1" xfId="0" applyFont="1" applyFill="1" applyBorder="1" applyAlignment="1">
      <alignment horizontal="right" vertical="top" wrapText="1"/>
    </xf>
    <xf numFmtId="165" fontId="2" fillId="0" borderId="14" xfId="0" applyNumberFormat="1" applyFont="1" applyBorder="1" applyAlignment="1">
      <alignment wrapText="1"/>
    </xf>
    <xf numFmtId="165" fontId="2" fillId="14" borderId="1" xfId="0" applyNumberFormat="1" applyFont="1" applyFill="1" applyBorder="1" applyAlignment="1">
      <alignment horizontal="left" vertical="top" wrapText="1"/>
    </xf>
    <xf numFmtId="165" fontId="8" fillId="11" borderId="7" xfId="0" applyNumberFormat="1" applyFont="1" applyFill="1" applyBorder="1" applyAlignment="1">
      <alignment horizontal="right" vertical="top" wrapText="1"/>
    </xf>
    <xf numFmtId="0" fontId="10" fillId="11" borderId="13" xfId="0" applyFont="1" applyFill="1" applyBorder="1" applyAlignment="1">
      <alignment horizontal="left" vertical="top" wrapText="1"/>
    </xf>
    <xf numFmtId="0" fontId="8" fillId="11" borderId="7" xfId="0" applyFont="1" applyFill="1" applyBorder="1" applyAlignment="1">
      <alignment horizontal="left" vertical="top" wrapText="1"/>
    </xf>
    <xf numFmtId="165" fontId="8" fillId="11" borderId="13" xfId="0" applyNumberFormat="1" applyFont="1" applyFill="1" applyBorder="1" applyAlignment="1">
      <alignment horizontal="left" vertical="top" wrapText="1"/>
    </xf>
    <xf numFmtId="0" fontId="10" fillId="11" borderId="7" xfId="0" applyFont="1" applyFill="1" applyBorder="1" applyAlignment="1">
      <alignment horizontal="left" vertical="top" wrapText="1"/>
    </xf>
    <xf numFmtId="0" fontId="8" fillId="11" borderId="13" xfId="0" applyFont="1" applyFill="1" applyBorder="1" applyAlignment="1">
      <alignment horizontal="left" vertical="top" wrapText="1"/>
    </xf>
    <xf numFmtId="0" fontId="8" fillId="4" borderId="13" xfId="0" applyFont="1" applyFill="1" applyBorder="1" applyAlignment="1">
      <alignment horizontal="left" vertical="top" wrapText="1"/>
    </xf>
    <xf numFmtId="165" fontId="8" fillId="11" borderId="18" xfId="0" applyNumberFormat="1" applyFont="1" applyFill="1" applyBorder="1" applyAlignment="1">
      <alignment horizontal="right" vertical="top" wrapText="1"/>
    </xf>
    <xf numFmtId="165" fontId="10" fillId="14" borderId="1" xfId="0" applyNumberFormat="1" applyFont="1" applyFill="1" applyBorder="1" applyAlignment="1">
      <alignment vertical="top" wrapText="1"/>
    </xf>
    <xf numFmtId="6" fontId="4" fillId="6" borderId="7" xfId="0" applyNumberFormat="1" applyFont="1" applyFill="1" applyBorder="1" applyAlignment="1">
      <alignment horizontal="center" vertical="center" wrapText="1"/>
    </xf>
    <xf numFmtId="6" fontId="4" fillId="13" borderId="7" xfId="0" applyNumberFormat="1" applyFont="1" applyFill="1" applyBorder="1" applyAlignment="1">
      <alignment horizontal="center" vertical="center" wrapText="1"/>
    </xf>
    <xf numFmtId="6" fontId="2" fillId="14" borderId="7" xfId="0" applyNumberFormat="1" applyFont="1" applyFill="1" applyBorder="1" applyAlignment="1">
      <alignment vertical="top" wrapText="1"/>
    </xf>
    <xf numFmtId="165" fontId="8" fillId="11" borderId="7" xfId="0" applyNumberFormat="1" applyFont="1" applyFill="1" applyBorder="1" applyAlignment="1">
      <alignment vertical="top" wrapText="1"/>
    </xf>
    <xf numFmtId="0" fontId="10" fillId="11" borderId="13" xfId="0" applyFont="1" applyFill="1" applyBorder="1" applyAlignment="1">
      <alignment vertical="top" wrapText="1"/>
    </xf>
    <xf numFmtId="0" fontId="2" fillId="11" borderId="7" xfId="0" applyFont="1" applyFill="1" applyBorder="1" applyAlignment="1">
      <alignment vertical="top" wrapText="1"/>
    </xf>
    <xf numFmtId="0" fontId="10" fillId="11" borderId="7" xfId="0" applyFont="1" applyFill="1" applyBorder="1" applyAlignment="1">
      <alignment vertical="top" wrapText="1"/>
    </xf>
    <xf numFmtId="0" fontId="8" fillId="0" borderId="13" xfId="0" applyFont="1" applyBorder="1" applyAlignment="1">
      <alignment vertical="top" wrapText="1"/>
    </xf>
    <xf numFmtId="0" fontId="8" fillId="11" borderId="13" xfId="0" applyFont="1" applyFill="1" applyBorder="1" applyAlignment="1">
      <alignment vertical="top" wrapText="1"/>
    </xf>
    <xf numFmtId="0" fontId="10" fillId="11" borderId="4" xfId="0" applyFont="1" applyFill="1" applyBorder="1" applyAlignment="1">
      <alignment vertical="top" wrapText="1"/>
    </xf>
    <xf numFmtId="0" fontId="2" fillId="0" borderId="4" xfId="0" applyFont="1" applyBorder="1" applyAlignment="1">
      <alignment vertical="top" wrapText="1"/>
    </xf>
    <xf numFmtId="0" fontId="4" fillId="11" borderId="15" xfId="0" applyFont="1" applyFill="1" applyBorder="1" applyAlignment="1">
      <alignment horizontal="center" vertical="center" wrapText="1"/>
    </xf>
    <xf numFmtId="6" fontId="10" fillId="14" borderId="7" xfId="0" applyNumberFormat="1" applyFont="1" applyFill="1" applyBorder="1" applyAlignment="1">
      <alignment vertical="top"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11" borderId="21" xfId="0" applyFont="1" applyFill="1" applyBorder="1" applyAlignment="1">
      <alignment horizontal="center" vertical="center" wrapText="1"/>
    </xf>
    <xf numFmtId="6" fontId="4" fillId="13" borderId="21" xfId="0" applyNumberFormat="1" applyFont="1" applyFill="1" applyBorder="1" applyAlignment="1">
      <alignment horizontal="center" vertical="center" wrapText="1"/>
    </xf>
    <xf numFmtId="6" fontId="4" fillId="6" borderId="21" xfId="0" applyNumberFormat="1" applyFont="1" applyFill="1" applyBorder="1" applyAlignment="1">
      <alignment horizontal="center" vertical="center" wrapText="1"/>
    </xf>
    <xf numFmtId="0" fontId="11" fillId="0" borderId="1" xfId="0" applyFont="1" applyBorder="1" applyAlignment="1">
      <alignment vertical="top" wrapText="1"/>
    </xf>
    <xf numFmtId="0" fontId="5" fillId="11" borderId="1" xfId="0" applyFont="1" applyFill="1" applyBorder="1" applyAlignment="1">
      <alignment vertical="top" wrapText="1"/>
    </xf>
    <xf numFmtId="0" fontId="15" fillId="11" borderId="1" xfId="0" applyFont="1" applyFill="1" applyBorder="1" applyAlignment="1">
      <alignment horizontal="left" vertical="top" wrapText="1"/>
    </xf>
    <xf numFmtId="6" fontId="14" fillId="11" borderId="1" xfId="0" applyNumberFormat="1" applyFont="1" applyFill="1" applyBorder="1" applyAlignment="1">
      <alignment horizontal="right" vertical="top" wrapText="1"/>
    </xf>
    <xf numFmtId="0" fontId="2" fillId="0" borderId="7" xfId="0" applyFont="1" applyBorder="1" applyAlignment="1">
      <alignment horizontal="center" vertical="top" wrapText="1"/>
    </xf>
    <xf numFmtId="0" fontId="2" fillId="0" borderId="19" xfId="0" applyFont="1" applyBorder="1" applyAlignment="1">
      <alignment horizontal="right"/>
    </xf>
    <xf numFmtId="0" fontId="6" fillId="8" borderId="19" xfId="0" applyFont="1" applyFill="1" applyBorder="1" applyAlignment="1">
      <alignment horizontal="center" vertical="top" wrapText="1"/>
    </xf>
    <xf numFmtId="0" fontId="6" fillId="7" borderId="19" xfId="0" applyFont="1" applyFill="1" applyBorder="1" applyAlignment="1">
      <alignment horizontal="center" vertical="top" wrapText="1"/>
    </xf>
    <xf numFmtId="0" fontId="6" fillId="15" borderId="19" xfId="0" applyFont="1" applyFill="1" applyBorder="1" applyAlignment="1">
      <alignment horizontal="center" vertical="top" wrapText="1"/>
    </xf>
    <xf numFmtId="0" fontId="4" fillId="0" borderId="19" xfId="0" applyFont="1" applyBorder="1"/>
    <xf numFmtId="165" fontId="2" fillId="0" borderId="19" xfId="2" applyNumberFormat="1" applyFont="1" applyBorder="1"/>
    <xf numFmtId="165" fontId="4" fillId="0" borderId="19" xfId="0" applyNumberFormat="1" applyFont="1" applyBorder="1"/>
    <xf numFmtId="0" fontId="6" fillId="2" borderId="19" xfId="0" applyFont="1" applyFill="1" applyBorder="1" applyAlignment="1">
      <alignment horizontal="center" vertical="top" wrapText="1"/>
    </xf>
    <xf numFmtId="165" fontId="6" fillId="2" borderId="19" xfId="0" applyNumberFormat="1" applyFont="1" applyFill="1" applyBorder="1" applyAlignment="1">
      <alignment horizontal="center" vertical="top" wrapText="1"/>
    </xf>
    <xf numFmtId="165" fontId="2" fillId="0" borderId="19" xfId="0" applyNumberFormat="1" applyFont="1" applyBorder="1"/>
    <xf numFmtId="6" fontId="10" fillId="14" borderId="8" xfId="0" applyNumberFormat="1" applyFont="1" applyFill="1" applyBorder="1" applyAlignment="1">
      <alignment horizontal="left" vertical="top" wrapText="1"/>
    </xf>
    <xf numFmtId="165" fontId="2" fillId="11" borderId="7" xfId="0" applyNumberFormat="1" applyFont="1" applyFill="1" applyBorder="1" applyAlignment="1">
      <alignment horizontal="right" vertical="top" wrapText="1"/>
    </xf>
    <xf numFmtId="0" fontId="2" fillId="11" borderId="13" xfId="0" applyFont="1" applyFill="1" applyBorder="1" applyAlignment="1">
      <alignment horizontal="left" vertical="top" wrapText="1"/>
    </xf>
    <xf numFmtId="0" fontId="2" fillId="11" borderId="7" xfId="0" applyFont="1" applyFill="1" applyBorder="1" applyAlignment="1">
      <alignment horizontal="left" wrapText="1"/>
    </xf>
    <xf numFmtId="0" fontId="2" fillId="11" borderId="7" xfId="0" applyFont="1" applyFill="1" applyBorder="1" applyAlignment="1">
      <alignment horizontal="left" vertical="top" wrapText="1"/>
    </xf>
    <xf numFmtId="165" fontId="2" fillId="11" borderId="13" xfId="0" applyNumberFormat="1" applyFont="1" applyFill="1" applyBorder="1" applyAlignment="1">
      <alignment horizontal="left" wrapText="1"/>
    </xf>
    <xf numFmtId="165" fontId="2" fillId="11" borderId="13" xfId="0" applyNumberFormat="1" applyFont="1" applyFill="1" applyBorder="1" applyAlignment="1">
      <alignment horizontal="right" vertical="top" wrapText="1"/>
    </xf>
    <xf numFmtId="165" fontId="8" fillId="11" borderId="13" xfId="0" applyNumberFormat="1" applyFont="1" applyFill="1" applyBorder="1" applyAlignment="1">
      <alignment horizontal="right" vertical="top" wrapText="1"/>
    </xf>
    <xf numFmtId="0" fontId="10" fillId="10" borderId="13" xfId="0" applyFont="1" applyFill="1" applyBorder="1" applyAlignment="1">
      <alignment horizontal="left" vertical="top" wrapText="1"/>
    </xf>
    <xf numFmtId="0" fontId="4" fillId="11" borderId="7" xfId="0" applyFont="1" applyFill="1" applyBorder="1" applyAlignment="1">
      <alignment horizontal="center" wrapText="1"/>
    </xf>
    <xf numFmtId="0" fontId="4" fillId="0" borderId="7" xfId="0" applyFont="1" applyBorder="1" applyAlignment="1">
      <alignment horizontal="right" vertical="top" wrapText="1"/>
    </xf>
    <xf numFmtId="165" fontId="4" fillId="0" borderId="7" xfId="0" applyNumberFormat="1" applyFont="1" applyBorder="1" applyAlignment="1">
      <alignment horizontal="right" vertical="top" wrapText="1"/>
    </xf>
    <xf numFmtId="0" fontId="4" fillId="11" borderId="7" xfId="0" applyFont="1" applyFill="1" applyBorder="1" applyAlignment="1">
      <alignment horizontal="right" vertical="top" wrapText="1"/>
    </xf>
    <xf numFmtId="0" fontId="10" fillId="11" borderId="13" xfId="0" applyFont="1" applyFill="1" applyBorder="1" applyAlignment="1">
      <alignment horizontal="left" wrapText="1"/>
    </xf>
    <xf numFmtId="0" fontId="11" fillId="10" borderId="1" xfId="0" applyFont="1" applyFill="1" applyBorder="1" applyAlignment="1">
      <alignment vertical="top" wrapText="1"/>
    </xf>
    <xf numFmtId="0" fontId="16" fillId="2" borderId="1" xfId="0" applyFont="1" applyFill="1" applyBorder="1" applyAlignment="1">
      <alignment horizontal="left" vertical="top" wrapText="1"/>
    </xf>
    <xf numFmtId="0" fontId="23" fillId="11" borderId="1" xfId="0" applyFont="1" applyFill="1" applyBorder="1" applyAlignment="1">
      <alignment horizontal="left" wrapText="1"/>
    </xf>
    <xf numFmtId="0" fontId="23" fillId="11" borderId="1" xfId="0" applyFont="1" applyFill="1" applyBorder="1" applyAlignment="1">
      <alignment horizontal="left" vertical="top" wrapText="1"/>
    </xf>
    <xf numFmtId="0" fontId="23" fillId="11" borderId="7" xfId="0" applyFont="1" applyFill="1" applyBorder="1" applyAlignment="1">
      <alignment horizontal="left" vertical="top" wrapText="1"/>
    </xf>
    <xf numFmtId="0" fontId="18" fillId="0" borderId="1" xfId="0" applyFont="1" applyBorder="1" applyAlignment="1">
      <alignment vertical="top"/>
    </xf>
    <xf numFmtId="165" fontId="18" fillId="0" borderId="0" xfId="0" applyNumberFormat="1" applyFont="1"/>
    <xf numFmtId="165" fontId="18" fillId="0" borderId="14" xfId="0" applyNumberFormat="1" applyFont="1" applyBorder="1"/>
    <xf numFmtId="0" fontId="2" fillId="4" borderId="13" xfId="0" applyFont="1" applyFill="1" applyBorder="1" applyAlignment="1">
      <alignment horizontal="left" vertical="top" wrapText="1"/>
    </xf>
    <xf numFmtId="0" fontId="2" fillId="0" borderId="1" xfId="0" applyFont="1" applyBorder="1" applyAlignment="1">
      <alignment horizontal="left" wrapText="1"/>
    </xf>
    <xf numFmtId="0" fontId="6" fillId="11" borderId="1" xfId="0" applyFont="1" applyFill="1" applyBorder="1" applyAlignment="1">
      <alignment horizontal="center" vertical="center"/>
    </xf>
    <xf numFmtId="0" fontId="6" fillId="5" borderId="1" xfId="0" applyFont="1" applyFill="1" applyBorder="1" applyAlignment="1">
      <alignment horizontal="center" vertical="top" wrapText="1"/>
    </xf>
    <xf numFmtId="0" fontId="6" fillId="5" borderId="13" xfId="0" applyFont="1" applyFill="1" applyBorder="1" applyAlignment="1">
      <alignment horizontal="center" vertical="top" wrapText="1"/>
    </xf>
    <xf numFmtId="9" fontId="28" fillId="0" borderId="1" xfId="4" applyFont="1" applyBorder="1" applyAlignment="1">
      <alignment horizontal="center" vertical="center" wrapText="1"/>
    </xf>
    <xf numFmtId="9" fontId="28" fillId="9" borderId="1" xfId="4" applyFont="1" applyFill="1" applyBorder="1" applyAlignment="1">
      <alignment horizontal="center" vertical="center" wrapText="1"/>
    </xf>
    <xf numFmtId="9" fontId="28" fillId="0" borderId="13" xfId="4" applyFont="1" applyBorder="1" applyAlignment="1">
      <alignment horizontal="center" vertical="center" wrapText="1"/>
    </xf>
    <xf numFmtId="9" fontId="28" fillId="0" borderId="1" xfId="4" applyFont="1" applyFill="1" applyBorder="1" applyAlignment="1">
      <alignment horizontal="center" vertical="center" wrapText="1"/>
    </xf>
    <xf numFmtId="9" fontId="28" fillId="0" borderId="13" xfId="4" applyFont="1" applyFill="1" applyBorder="1" applyAlignment="1">
      <alignment horizontal="center" vertical="center" wrapText="1"/>
    </xf>
    <xf numFmtId="9" fontId="28" fillId="9" borderId="13" xfId="4" applyFont="1" applyFill="1" applyBorder="1" applyAlignment="1">
      <alignment horizontal="center" vertical="center" wrapText="1"/>
    </xf>
    <xf numFmtId="9" fontId="28" fillId="11" borderId="1" xfId="4" applyFont="1" applyFill="1" applyBorder="1" applyAlignment="1">
      <alignment horizontal="center" vertical="center" wrapText="1"/>
    </xf>
    <xf numFmtId="9" fontId="28" fillId="11" borderId="13" xfId="4" applyFont="1" applyFill="1" applyBorder="1" applyAlignment="1">
      <alignment horizontal="center" vertical="center" wrapText="1"/>
    </xf>
    <xf numFmtId="9" fontId="28" fillId="0" borderId="0" xfId="4" applyFont="1" applyBorder="1" applyAlignment="1">
      <alignment horizontal="center" vertical="center"/>
    </xf>
    <xf numFmtId="9" fontId="28" fillId="0" borderId="0" xfId="4" applyFont="1" applyBorder="1" applyAlignment="1">
      <alignment horizontal="center" vertical="center" wrapText="1"/>
    </xf>
    <xf numFmtId="9" fontId="28" fillId="10" borderId="1" xfId="4" applyFont="1" applyFill="1" applyBorder="1" applyAlignment="1">
      <alignment horizontal="center" vertical="center" wrapText="1"/>
    </xf>
    <xf numFmtId="6" fontId="4" fillId="11" borderId="1" xfId="0" applyNumberFormat="1" applyFont="1" applyFill="1" applyBorder="1" applyAlignment="1">
      <alignment horizontal="center" vertical="center" wrapText="1"/>
    </xf>
    <xf numFmtId="8" fontId="4" fillId="11" borderId="1" xfId="0" applyNumberFormat="1" applyFont="1" applyFill="1" applyBorder="1" applyAlignment="1">
      <alignment horizontal="center" vertical="center" wrapText="1"/>
    </xf>
    <xf numFmtId="9" fontId="28" fillId="9" borderId="1" xfId="4" applyFont="1" applyFill="1" applyBorder="1" applyAlignment="1">
      <alignment horizontal="center" vertical="center"/>
    </xf>
    <xf numFmtId="9" fontId="28" fillId="9" borderId="13" xfId="4" applyFont="1" applyFill="1" applyBorder="1" applyAlignment="1">
      <alignment horizontal="center" vertical="center"/>
    </xf>
    <xf numFmtId="165" fontId="4" fillId="9" borderId="1" xfId="0" applyNumberFormat="1" applyFont="1" applyFill="1" applyBorder="1" applyAlignment="1">
      <alignment horizontal="center" vertical="center" wrapText="1"/>
    </xf>
    <xf numFmtId="165" fontId="4" fillId="11" borderId="1" xfId="0" applyNumberFormat="1" applyFont="1" applyFill="1" applyBorder="1" applyAlignment="1">
      <alignment horizontal="center" vertical="center" wrapText="1"/>
    </xf>
    <xf numFmtId="0" fontId="6" fillId="2" borderId="22" xfId="0" applyFont="1" applyFill="1" applyBorder="1" applyAlignment="1">
      <alignment horizontal="center" vertical="top" wrapText="1"/>
    </xf>
    <xf numFmtId="0" fontId="8" fillId="0" borderId="0" xfId="0" applyFont="1"/>
    <xf numFmtId="9" fontId="10" fillId="9" borderId="1" xfId="4" applyFont="1" applyFill="1" applyBorder="1" applyAlignment="1">
      <alignment horizontal="center" vertical="center" wrapText="1"/>
    </xf>
    <xf numFmtId="9" fontId="10" fillId="0" borderId="1" xfId="4" applyFont="1" applyBorder="1" applyAlignment="1">
      <alignment horizontal="center" vertical="center" wrapText="1"/>
    </xf>
    <xf numFmtId="9" fontId="10" fillId="0" borderId="13" xfId="4" applyFont="1" applyBorder="1" applyAlignment="1">
      <alignment horizontal="center" vertical="center" wrapText="1"/>
    </xf>
    <xf numFmtId="9" fontId="10" fillId="0" borderId="1" xfId="4" applyFont="1" applyFill="1" applyBorder="1" applyAlignment="1">
      <alignment horizontal="center" vertical="center" wrapText="1"/>
    </xf>
    <xf numFmtId="9" fontId="10" fillId="0" borderId="13" xfId="4" applyFont="1" applyFill="1" applyBorder="1" applyAlignment="1">
      <alignment horizontal="center" vertical="center" wrapText="1"/>
    </xf>
    <xf numFmtId="9" fontId="10" fillId="9" borderId="13" xfId="4" applyFont="1" applyFill="1" applyBorder="1" applyAlignment="1">
      <alignment horizontal="center" vertical="center" wrapText="1"/>
    </xf>
    <xf numFmtId="9" fontId="10" fillId="9" borderId="1" xfId="4" applyFont="1" applyFill="1" applyBorder="1" applyAlignment="1">
      <alignment horizontal="center" vertical="center"/>
    </xf>
    <xf numFmtId="9" fontId="10" fillId="0" borderId="1" xfId="4" applyFont="1" applyBorder="1" applyAlignment="1">
      <alignment horizontal="center" vertical="center"/>
    </xf>
    <xf numFmtId="9" fontId="10" fillId="0" borderId="13" xfId="4" applyFont="1" applyBorder="1" applyAlignment="1">
      <alignment horizontal="center" vertical="center"/>
    </xf>
    <xf numFmtId="9" fontId="8" fillId="0" borderId="1" xfId="4" applyFont="1" applyFill="1" applyBorder="1" applyAlignment="1">
      <alignment horizontal="center" vertical="center" wrapText="1"/>
    </xf>
    <xf numFmtId="9" fontId="8" fillId="9" borderId="1" xfId="4" applyFont="1" applyFill="1" applyBorder="1" applyAlignment="1">
      <alignment horizontal="center" vertical="center" wrapText="1"/>
    </xf>
    <xf numFmtId="9" fontId="8" fillId="0" borderId="13" xfId="4" applyFont="1" applyFill="1" applyBorder="1" applyAlignment="1">
      <alignment horizontal="center" vertical="center" wrapText="1"/>
    </xf>
    <xf numFmtId="9" fontId="8" fillId="10" borderId="1" xfId="4" applyFont="1" applyFill="1" applyBorder="1" applyAlignment="1">
      <alignment horizontal="center" vertical="center" wrapText="1"/>
    </xf>
    <xf numFmtId="9" fontId="8" fillId="0" borderId="1" xfId="4" applyFont="1" applyBorder="1" applyAlignment="1">
      <alignment horizontal="center" vertical="center" wrapText="1"/>
    </xf>
    <xf numFmtId="9" fontId="8" fillId="0" borderId="13" xfId="4" applyFont="1" applyBorder="1" applyAlignment="1">
      <alignment horizontal="center" vertical="center" wrapText="1"/>
    </xf>
    <xf numFmtId="9" fontId="2" fillId="11" borderId="1" xfId="4" applyFont="1" applyFill="1" applyBorder="1" applyAlignment="1">
      <alignment horizontal="center" vertical="center" wrapText="1"/>
    </xf>
    <xf numFmtId="9" fontId="2" fillId="11" borderId="13" xfId="4" applyFont="1" applyFill="1" applyBorder="1" applyAlignment="1">
      <alignment horizontal="center" vertical="center" wrapText="1"/>
    </xf>
    <xf numFmtId="9" fontId="1" fillId="0" borderId="1" xfId="4" applyFont="1" applyFill="1" applyBorder="1" applyAlignment="1" applyProtection="1">
      <alignment horizontal="center" vertical="center"/>
    </xf>
    <xf numFmtId="9" fontId="8" fillId="11" borderId="1" xfId="4" applyFont="1" applyFill="1" applyBorder="1" applyAlignment="1">
      <alignment horizontal="center" vertical="center" wrapText="1"/>
    </xf>
    <xf numFmtId="9" fontId="8" fillId="11" borderId="13" xfId="4" applyFont="1" applyFill="1" applyBorder="1" applyAlignment="1">
      <alignment horizontal="center" vertical="center" wrapText="1"/>
    </xf>
    <xf numFmtId="9" fontId="10" fillId="10" borderId="1" xfId="4" applyFont="1" applyFill="1" applyBorder="1" applyAlignment="1">
      <alignment horizontal="center" vertical="center" wrapText="1"/>
    </xf>
    <xf numFmtId="9" fontId="10" fillId="10" borderId="13" xfId="4" applyFont="1" applyFill="1" applyBorder="1" applyAlignment="1">
      <alignment horizontal="center" vertical="center" wrapText="1"/>
    </xf>
    <xf numFmtId="165" fontId="2" fillId="0" borderId="19" xfId="2" applyNumberFormat="1" applyFont="1" applyFill="1" applyBorder="1"/>
    <xf numFmtId="0" fontId="13" fillId="17" borderId="1" xfId="0" applyFont="1" applyFill="1" applyBorder="1" applyAlignment="1">
      <alignment horizontal="left" vertical="top" wrapText="1"/>
    </xf>
    <xf numFmtId="165" fontId="2" fillId="3" borderId="19" xfId="2" applyNumberFormat="1" applyFont="1" applyFill="1" applyBorder="1"/>
    <xf numFmtId="165" fontId="2" fillId="14" borderId="7" xfId="0" applyNumberFormat="1" applyFont="1" applyFill="1" applyBorder="1" applyAlignment="1">
      <alignment horizontal="right" vertical="top" wrapText="1"/>
    </xf>
    <xf numFmtId="165" fontId="4" fillId="13" borderId="7" xfId="0" applyNumberFormat="1" applyFont="1" applyFill="1" applyBorder="1" applyAlignment="1">
      <alignment horizontal="center" vertical="center" wrapText="1"/>
    </xf>
    <xf numFmtId="0" fontId="10" fillId="4" borderId="1" xfId="0" applyFont="1" applyFill="1" applyBorder="1" applyAlignment="1">
      <alignment horizontal="left" vertical="top" wrapText="1"/>
    </xf>
    <xf numFmtId="0" fontId="10" fillId="4" borderId="13" xfId="0" applyFont="1" applyFill="1" applyBorder="1" applyAlignment="1">
      <alignment horizontal="left" vertical="top" wrapText="1"/>
    </xf>
    <xf numFmtId="0" fontId="8" fillId="5" borderId="1" xfId="0" applyFont="1" applyFill="1" applyBorder="1" applyAlignment="1">
      <alignment horizontal="left" vertical="top" wrapText="1"/>
    </xf>
    <xf numFmtId="0" fontId="10" fillId="0" borderId="1" xfId="0" applyFont="1" applyBorder="1" applyAlignment="1">
      <alignment horizontal="right" vertical="top" wrapText="1"/>
    </xf>
    <xf numFmtId="0" fontId="4" fillId="11" borderId="7" xfId="0" applyFont="1" applyFill="1" applyBorder="1" applyAlignment="1">
      <alignment horizontal="left" vertical="top" wrapText="1"/>
    </xf>
    <xf numFmtId="0" fontId="2" fillId="18" borderId="1" xfId="0" applyFont="1" applyFill="1" applyBorder="1" applyAlignment="1">
      <alignment horizontal="left" vertical="top" wrapText="1"/>
    </xf>
    <xf numFmtId="0" fontId="2" fillId="19" borderId="1" xfId="0" applyFont="1" applyFill="1" applyBorder="1" applyAlignment="1">
      <alignment vertical="top" wrapText="1"/>
    </xf>
    <xf numFmtId="0" fontId="2" fillId="5" borderId="1" xfId="0" applyFont="1" applyFill="1" applyBorder="1" applyAlignment="1">
      <alignment horizontal="left" vertical="top" wrapText="1"/>
    </xf>
    <xf numFmtId="0" fontId="2" fillId="20" borderId="1" xfId="0" applyFont="1" applyFill="1" applyBorder="1" applyAlignment="1">
      <alignment horizontal="left" vertical="top" wrapText="1"/>
    </xf>
    <xf numFmtId="10" fontId="4" fillId="0" borderId="0" xfId="4" applyNumberFormat="1" applyFont="1" applyBorder="1" applyAlignment="1">
      <alignment horizontal="center" vertical="center" wrapText="1"/>
    </xf>
    <xf numFmtId="0" fontId="0" fillId="0" borderId="1" xfId="0" applyBorder="1" applyAlignment="1">
      <alignment wrapText="1"/>
    </xf>
    <xf numFmtId="3" fontId="0" fillId="0" borderId="0" xfId="0" applyNumberFormat="1"/>
    <xf numFmtId="0" fontId="20" fillId="9" borderId="1" xfId="0" applyFont="1" applyFill="1" applyBorder="1" applyAlignment="1">
      <alignment horizontal="center" vertical="top" wrapText="1"/>
    </xf>
    <xf numFmtId="0" fontId="7" fillId="23" borderId="1" xfId="0" applyFont="1" applyFill="1" applyBorder="1" applyAlignment="1">
      <alignment horizontal="center" vertical="top" wrapText="1"/>
    </xf>
    <xf numFmtId="3" fontId="20" fillId="23" borderId="1" xfId="0" applyNumberFormat="1" applyFont="1" applyFill="1" applyBorder="1" applyAlignment="1">
      <alignment horizontal="center" vertical="top" wrapText="1"/>
    </xf>
    <xf numFmtId="9" fontId="9" fillId="0" borderId="0" xfId="0" applyNumberFormat="1" applyFont="1"/>
    <xf numFmtId="164" fontId="2" fillId="0" borderId="0" xfId="0" applyNumberFormat="1" applyFont="1"/>
    <xf numFmtId="6" fontId="4" fillId="0" borderId="1" xfId="0" applyNumberFormat="1" applyFont="1" applyBorder="1" applyAlignment="1">
      <alignment horizontal="center" vertical="center" wrapText="1"/>
    </xf>
    <xf numFmtId="0" fontId="6" fillId="15" borderId="1" xfId="0" applyFont="1" applyFill="1" applyBorder="1" applyAlignment="1">
      <alignment horizontal="center" vertical="top" wrapText="1"/>
    </xf>
    <xf numFmtId="0" fontId="8" fillId="0" borderId="0" xfId="0" applyFont="1" applyAlignment="1">
      <alignment horizontal="left" vertical="top" wrapText="1"/>
    </xf>
    <xf numFmtId="0" fontId="0" fillId="0" borderId="0" xfId="0" applyAlignment="1">
      <alignment wrapText="1"/>
    </xf>
    <xf numFmtId="0" fontId="4" fillId="10" borderId="0" xfId="0" applyFont="1" applyFill="1" applyAlignment="1">
      <alignment horizontal="center" vertical="center" wrapText="1"/>
    </xf>
    <xf numFmtId="0" fontId="4" fillId="0" borderId="0" xfId="0" applyFont="1" applyAlignment="1">
      <alignment horizontal="center" vertical="center" wrapText="1"/>
    </xf>
    <xf numFmtId="0" fontId="31" fillId="0" borderId="0" xfId="0" applyFont="1"/>
    <xf numFmtId="0" fontId="29" fillId="0" borderId="0" xfId="0" applyFont="1"/>
    <xf numFmtId="9" fontId="29" fillId="0" borderId="0" xfId="0" applyNumberFormat="1" applyFont="1"/>
    <xf numFmtId="165" fontId="6" fillId="11" borderId="13" xfId="0" applyNumberFormat="1" applyFont="1" applyFill="1" applyBorder="1" applyAlignment="1">
      <alignment horizontal="left" vertical="top" wrapText="1"/>
    </xf>
    <xf numFmtId="0" fontId="34" fillId="11" borderId="0" xfId="0" applyFont="1" applyFill="1"/>
    <xf numFmtId="165" fontId="0" fillId="0" borderId="1" xfId="0" applyNumberFormat="1" applyBorder="1"/>
    <xf numFmtId="0" fontId="6" fillId="8" borderId="1" xfId="0" applyFont="1" applyFill="1" applyBorder="1" applyAlignment="1">
      <alignment horizontal="center" vertical="top" wrapText="1"/>
    </xf>
    <xf numFmtId="0" fontId="6" fillId="7" borderId="1" xfId="0" applyFont="1" applyFill="1" applyBorder="1" applyAlignment="1">
      <alignment horizontal="center" vertical="top" wrapText="1"/>
    </xf>
    <xf numFmtId="0" fontId="35" fillId="0" borderId="0" xfId="0" applyFont="1" applyAlignment="1">
      <alignment vertical="top" wrapText="1"/>
    </xf>
    <xf numFmtId="0" fontId="35" fillId="0" borderId="0" xfId="0" applyFont="1" applyAlignment="1">
      <alignment horizontal="left" vertical="top" wrapText="1"/>
    </xf>
    <xf numFmtId="0" fontId="40" fillId="11" borderId="1" xfId="0" applyFont="1" applyFill="1" applyBorder="1" applyAlignment="1">
      <alignment vertical="top" wrapText="1"/>
    </xf>
    <xf numFmtId="0" fontId="40" fillId="11" borderId="1" xfId="0" applyFont="1" applyFill="1" applyBorder="1" applyAlignment="1">
      <alignment horizontal="left" vertical="top" wrapText="1"/>
    </xf>
    <xf numFmtId="0" fontId="35" fillId="11" borderId="1" xfId="0" applyFont="1" applyFill="1" applyBorder="1" applyAlignment="1">
      <alignment vertical="top" wrapText="1"/>
    </xf>
    <xf numFmtId="6" fontId="40" fillId="11" borderId="1" xfId="0" applyNumberFormat="1" applyFont="1" applyFill="1" applyBorder="1" applyAlignment="1">
      <alignment horizontal="right" vertical="top" wrapText="1"/>
    </xf>
    <xf numFmtId="6" fontId="40" fillId="11" borderId="1" xfId="0" applyNumberFormat="1" applyFont="1" applyFill="1" applyBorder="1" applyAlignment="1">
      <alignment vertical="top" wrapText="1"/>
    </xf>
    <xf numFmtId="0" fontId="40" fillId="11" borderId="13" xfId="0" applyFont="1" applyFill="1" applyBorder="1" applyAlignment="1">
      <alignment horizontal="left" vertical="top" wrapText="1"/>
    </xf>
    <xf numFmtId="0" fontId="41" fillId="11" borderId="1" xfId="0" applyFont="1" applyFill="1" applyBorder="1" applyAlignment="1">
      <alignment horizontal="center" vertical="center" wrapText="1"/>
    </xf>
    <xf numFmtId="0" fontId="41" fillId="11" borderId="4" xfId="0" applyFont="1" applyFill="1" applyBorder="1" applyAlignment="1">
      <alignment horizontal="center" vertical="center" wrapText="1"/>
    </xf>
    <xf numFmtId="0" fontId="35" fillId="10" borderId="0" xfId="0" applyFont="1" applyFill="1" applyAlignment="1">
      <alignment vertical="top" wrapText="1"/>
    </xf>
    <xf numFmtId="0" fontId="43" fillId="0" borderId="0" xfId="0" applyFont="1" applyAlignment="1">
      <alignment vertical="top" wrapText="1"/>
    </xf>
    <xf numFmtId="0" fontId="41" fillId="0" borderId="0" xfId="0" applyFont="1" applyAlignment="1">
      <alignment horizontal="center" vertical="center" wrapText="1"/>
    </xf>
    <xf numFmtId="0" fontId="41" fillId="10" borderId="0" xfId="0" applyFont="1" applyFill="1" applyAlignment="1">
      <alignment horizontal="center" vertical="center" wrapText="1"/>
    </xf>
    <xf numFmtId="166" fontId="41" fillId="0" borderId="0" xfId="0" applyNumberFormat="1" applyFont="1" applyAlignment="1">
      <alignment horizontal="center" vertical="center" wrapText="1"/>
    </xf>
    <xf numFmtId="6" fontId="41" fillId="0" borderId="0" xfId="0" applyNumberFormat="1" applyFont="1" applyAlignment="1">
      <alignment horizontal="center" vertical="center" wrapText="1"/>
    </xf>
    <xf numFmtId="8" fontId="41" fillId="0" borderId="0" xfId="0" applyNumberFormat="1" applyFont="1" applyAlignment="1">
      <alignment horizontal="center" vertical="center" wrapText="1"/>
    </xf>
    <xf numFmtId="0" fontId="36" fillId="27" borderId="8" xfId="0" applyFont="1" applyFill="1" applyBorder="1" applyAlignment="1">
      <alignment horizontal="center" vertical="center" wrapText="1"/>
    </xf>
    <xf numFmtId="0" fontId="20" fillId="22" borderId="1" xfId="0" applyFont="1" applyFill="1" applyBorder="1" applyAlignment="1">
      <alignment horizontal="center" vertical="center" wrapText="1"/>
    </xf>
    <xf numFmtId="0" fontId="20" fillId="26" borderId="1" xfId="0" applyFont="1" applyFill="1" applyBorder="1" applyAlignment="1">
      <alignment horizontal="center" vertical="center"/>
    </xf>
    <xf numFmtId="0" fontId="20" fillId="27" borderId="1" xfId="0" applyFont="1" applyFill="1" applyBorder="1" applyAlignment="1">
      <alignment horizontal="center" vertical="center"/>
    </xf>
    <xf numFmtId="0" fontId="35" fillId="11" borderId="4" xfId="0" applyFont="1" applyFill="1" applyBorder="1" applyAlignment="1">
      <alignment vertical="top" wrapText="1"/>
    </xf>
    <xf numFmtId="0" fontId="36" fillId="27" borderId="31" xfId="0" applyFont="1" applyFill="1" applyBorder="1" applyAlignment="1">
      <alignment horizontal="center" vertical="center" wrapText="1"/>
    </xf>
    <xf numFmtId="6" fontId="40" fillId="27" borderId="8" xfId="0" applyNumberFormat="1" applyFont="1" applyFill="1" applyBorder="1" applyAlignment="1">
      <alignment horizontal="center" vertical="center" wrapText="1"/>
    </xf>
    <xf numFmtId="6" fontId="40" fillId="27" borderId="3" xfId="0" applyNumberFormat="1" applyFont="1" applyFill="1" applyBorder="1" applyAlignment="1">
      <alignment horizontal="center" vertical="center" wrapText="1"/>
    </xf>
    <xf numFmtId="6" fontId="40" fillId="27" borderId="3" xfId="0" applyNumberFormat="1" applyFont="1" applyFill="1" applyBorder="1" applyAlignment="1">
      <alignment vertical="center" wrapText="1"/>
    </xf>
    <xf numFmtId="6" fontId="40" fillId="27" borderId="8" xfId="0" applyNumberFormat="1" applyFont="1" applyFill="1" applyBorder="1" applyAlignment="1">
      <alignment vertical="center" wrapText="1"/>
    </xf>
    <xf numFmtId="6" fontId="40" fillId="26" borderId="3" xfId="0" applyNumberFormat="1" applyFont="1" applyFill="1" applyBorder="1" applyAlignment="1">
      <alignment horizontal="center" vertical="center" wrapText="1"/>
    </xf>
    <xf numFmtId="6" fontId="40" fillId="0" borderId="8" xfId="0" applyNumberFormat="1" applyFont="1" applyBorder="1" applyAlignment="1">
      <alignment horizontal="center" vertical="center" wrapText="1"/>
    </xf>
    <xf numFmtId="6" fontId="40" fillId="0" borderId="3" xfId="0" applyNumberFormat="1" applyFont="1" applyBorder="1" applyAlignment="1">
      <alignment horizontal="center" vertical="center" wrapText="1"/>
    </xf>
    <xf numFmtId="6" fontId="40" fillId="27" borderId="5" xfId="0" applyNumberFormat="1" applyFont="1" applyFill="1" applyBorder="1" applyAlignment="1">
      <alignment horizontal="center" vertical="center" wrapText="1"/>
    </xf>
    <xf numFmtId="6" fontId="40" fillId="0" borderId="5" xfId="0" applyNumberFormat="1" applyFont="1" applyBorder="1" applyAlignment="1">
      <alignment horizontal="center" vertical="center" wrapText="1"/>
    </xf>
    <xf numFmtId="0" fontId="36" fillId="27" borderId="31" xfId="0" applyFont="1" applyFill="1" applyBorder="1" applyAlignment="1">
      <alignment vertical="center" wrapText="1"/>
    </xf>
    <xf numFmtId="0" fontId="44" fillId="25" borderId="1" xfId="0" applyFont="1" applyFill="1" applyBorder="1" applyAlignment="1">
      <alignment horizontal="center" vertical="top" wrapText="1"/>
    </xf>
    <xf numFmtId="6" fontId="40" fillId="0" borderId="8" xfId="0" applyNumberFormat="1" applyFont="1" applyBorder="1" applyAlignment="1">
      <alignment vertical="center" wrapText="1"/>
    </xf>
    <xf numFmtId="6" fontId="40" fillId="11" borderId="36" xfId="0" applyNumberFormat="1" applyFont="1" applyFill="1" applyBorder="1" applyAlignment="1">
      <alignment vertical="top" wrapText="1"/>
    </xf>
    <xf numFmtId="165" fontId="41" fillId="0" borderId="3" xfId="0" applyNumberFormat="1" applyFont="1" applyBorder="1" applyAlignment="1">
      <alignment horizontal="center" vertical="center" wrapText="1"/>
    </xf>
    <xf numFmtId="165" fontId="41" fillId="0" borderId="9" xfId="0" applyNumberFormat="1" applyFont="1" applyBorder="1" applyAlignment="1">
      <alignment horizontal="center" vertical="center" wrapText="1"/>
    </xf>
    <xf numFmtId="165" fontId="38" fillId="0" borderId="3" xfId="0" applyNumberFormat="1" applyFont="1" applyBorder="1" applyAlignment="1">
      <alignment horizontal="center" vertical="center" wrapText="1"/>
    </xf>
    <xf numFmtId="165" fontId="41" fillId="27" borderId="9" xfId="0" applyNumberFormat="1" applyFont="1" applyFill="1" applyBorder="1" applyAlignment="1">
      <alignment horizontal="center" vertical="center" wrapText="1"/>
    </xf>
    <xf numFmtId="165" fontId="40" fillId="24" borderId="3" xfId="0" applyNumberFormat="1" applyFont="1" applyFill="1" applyBorder="1" applyAlignment="1">
      <alignment horizontal="center" vertical="center" wrapText="1"/>
    </xf>
    <xf numFmtId="165" fontId="35" fillId="24" borderId="3" xfId="0" applyNumberFormat="1" applyFont="1" applyFill="1" applyBorder="1" applyAlignment="1">
      <alignment horizontal="center" vertical="center" wrapText="1"/>
    </xf>
    <xf numFmtId="0" fontId="38" fillId="27" borderId="3" xfId="0" applyFont="1" applyFill="1" applyBorder="1" applyAlignment="1">
      <alignment horizontal="right" vertical="center" wrapText="1"/>
    </xf>
    <xf numFmtId="0" fontId="40" fillId="24" borderId="3" xfId="0" applyFont="1" applyFill="1" applyBorder="1" applyAlignment="1">
      <alignment horizontal="left" vertical="top" wrapText="1" indent="2"/>
    </xf>
    <xf numFmtId="0" fontId="2" fillId="0" borderId="0" xfId="0" applyFont="1" applyAlignment="1">
      <alignment vertical="top" wrapText="1"/>
    </xf>
    <xf numFmtId="0" fontId="2" fillId="0" borderId="0" xfId="0" applyFont="1" applyAlignment="1">
      <alignment horizontal="left" wrapText="1"/>
    </xf>
    <xf numFmtId="0" fontId="2" fillId="10" borderId="0" xfId="0" applyFont="1" applyFill="1" applyAlignment="1">
      <alignment vertical="top" wrapText="1"/>
    </xf>
    <xf numFmtId="0" fontId="18" fillId="10" borderId="0" xfId="0" applyFont="1" applyFill="1" applyAlignment="1">
      <alignment vertical="top" wrapText="1"/>
    </xf>
    <xf numFmtId="0" fontId="2" fillId="0" borderId="0" xfId="0" applyFont="1" applyAlignment="1">
      <alignment horizontal="left" vertical="top" wrapText="1"/>
    </xf>
    <xf numFmtId="0" fontId="23" fillId="10" borderId="0" xfId="0" applyFont="1" applyFill="1" applyAlignment="1">
      <alignment vertical="top" wrapText="1"/>
    </xf>
    <xf numFmtId="0" fontId="8" fillId="0" borderId="0" xfId="0" applyFont="1" applyAlignment="1">
      <alignment horizontal="right" vertical="top" wrapText="1"/>
    </xf>
    <xf numFmtId="165" fontId="2" fillId="0" borderId="0" xfId="0" applyNumberFormat="1" applyFont="1" applyAlignment="1">
      <alignment horizontal="right" vertical="top" wrapText="1"/>
    </xf>
    <xf numFmtId="0" fontId="4" fillId="0" borderId="0" xfId="0" applyFont="1" applyAlignment="1">
      <alignment horizontal="right"/>
    </xf>
    <xf numFmtId="165" fontId="4" fillId="0" borderId="0" xfId="0" applyNumberFormat="1" applyFont="1"/>
    <xf numFmtId="0" fontId="4" fillId="0" borderId="0" xfId="0" applyFont="1" applyAlignment="1">
      <alignment horizontal="right" vertical="top"/>
    </xf>
    <xf numFmtId="165" fontId="2" fillId="16" borderId="0" xfId="0" applyNumberFormat="1" applyFont="1" applyFill="1"/>
    <xf numFmtId="0" fontId="2" fillId="0" borderId="0" xfId="0" applyFont="1" applyAlignment="1">
      <alignment wrapText="1"/>
    </xf>
    <xf numFmtId="165" fontId="4" fillId="0" borderId="0" xfId="0" applyNumberFormat="1" applyFont="1" applyAlignment="1">
      <alignment horizontal="right" vertical="top" wrapText="1"/>
    </xf>
    <xf numFmtId="0" fontId="18" fillId="0" borderId="0" xfId="0" applyFont="1" applyAlignment="1">
      <alignment vertical="top" wrapText="1"/>
    </xf>
    <xf numFmtId="165" fontId="2" fillId="0" borderId="0" xfId="0" applyNumberFormat="1" applyFont="1" applyAlignment="1">
      <alignment horizontal="left" wrapText="1"/>
    </xf>
    <xf numFmtId="165" fontId="4" fillId="0" borderId="1" xfId="0" applyNumberFormat="1" applyFont="1" applyBorder="1" applyAlignment="1">
      <alignment horizontal="center" vertical="center" wrapText="1"/>
    </xf>
    <xf numFmtId="9" fontId="2" fillId="9" borderId="13" xfId="4" applyFont="1" applyFill="1" applyBorder="1" applyAlignment="1">
      <alignment horizontal="center" vertical="center" wrapText="1"/>
    </xf>
    <xf numFmtId="9" fontId="2" fillId="9" borderId="1" xfId="4" applyFont="1" applyFill="1" applyBorder="1" applyAlignment="1">
      <alignment horizontal="center" vertical="center" wrapText="1"/>
    </xf>
    <xf numFmtId="0" fontId="10" fillId="0" borderId="13" xfId="0" applyFont="1" applyBorder="1" applyAlignment="1">
      <alignment horizontal="right" vertical="top" wrapText="1"/>
    </xf>
    <xf numFmtId="9" fontId="2" fillId="0" borderId="13" xfId="4" applyFont="1" applyFill="1" applyBorder="1" applyAlignment="1">
      <alignment horizontal="center" vertical="center" wrapText="1"/>
    </xf>
    <xf numFmtId="9" fontId="2" fillId="0" borderId="1" xfId="4" applyFont="1" applyFill="1" applyBorder="1" applyAlignment="1">
      <alignment horizontal="center" vertical="center" wrapText="1"/>
    </xf>
    <xf numFmtId="6" fontId="2" fillId="16" borderId="1" xfId="0" applyNumberFormat="1" applyFont="1" applyFill="1" applyBorder="1" applyAlignment="1">
      <alignment horizontal="right" vertical="top" wrapText="1"/>
    </xf>
    <xf numFmtId="6" fontId="2" fillId="14" borderId="1" xfId="0" applyNumberFormat="1" applyFont="1" applyFill="1" applyBorder="1" applyAlignment="1">
      <alignment vertical="top" wrapText="1"/>
    </xf>
    <xf numFmtId="9" fontId="2" fillId="10" borderId="1" xfId="4" applyFont="1" applyFill="1" applyBorder="1" applyAlignment="1">
      <alignment horizontal="center" vertical="center" wrapText="1"/>
    </xf>
    <xf numFmtId="0" fontId="2" fillId="10" borderId="1" xfId="0" applyFont="1" applyFill="1" applyBorder="1" applyAlignment="1">
      <alignment horizontal="left" vertical="top" wrapText="1"/>
    </xf>
    <xf numFmtId="0" fontId="4" fillId="0" borderId="0" xfId="0" applyFont="1" applyAlignment="1">
      <alignment vertical="top" wrapText="1"/>
    </xf>
    <xf numFmtId="0" fontId="4" fillId="0" borderId="1" xfId="0" applyFont="1" applyBorder="1" applyAlignment="1">
      <alignment vertical="top" wrapText="1"/>
    </xf>
    <xf numFmtId="0" fontId="23" fillId="0" borderId="1" xfId="0" applyFont="1" applyBorder="1" applyAlignment="1">
      <alignment vertical="top" wrapText="1"/>
    </xf>
    <xf numFmtId="0" fontId="6" fillId="0" borderId="1" xfId="0" applyFont="1" applyBorder="1" applyAlignment="1">
      <alignment vertical="top"/>
    </xf>
    <xf numFmtId="0" fontId="4" fillId="11" borderId="0" xfId="0" applyFont="1" applyFill="1" applyAlignment="1">
      <alignment vertical="top" wrapText="1"/>
    </xf>
    <xf numFmtId="0" fontId="4" fillId="11" borderId="13" xfId="0" applyFont="1" applyFill="1" applyBorder="1" applyAlignment="1">
      <alignment vertical="top" wrapText="1"/>
    </xf>
    <xf numFmtId="0" fontId="23" fillId="11" borderId="1" xfId="0" applyFont="1" applyFill="1" applyBorder="1" applyAlignment="1">
      <alignment vertical="top" wrapText="1"/>
    </xf>
    <xf numFmtId="9" fontId="4" fillId="11" borderId="13" xfId="4" applyFont="1" applyFill="1" applyBorder="1" applyAlignment="1">
      <alignment horizontal="center" vertical="center" wrapText="1"/>
    </xf>
    <xf numFmtId="9" fontId="4" fillId="11" borderId="1" xfId="4" applyFont="1" applyFill="1" applyBorder="1" applyAlignment="1">
      <alignment horizontal="center" vertical="center" wrapText="1"/>
    </xf>
    <xf numFmtId="0" fontId="4" fillId="11" borderId="13" xfId="0" applyFont="1" applyFill="1" applyBorder="1" applyAlignment="1">
      <alignment horizontal="right" vertical="top" wrapText="1"/>
    </xf>
    <xf numFmtId="0" fontId="5" fillId="11" borderId="13" xfId="0" applyFont="1" applyFill="1" applyBorder="1" applyAlignment="1">
      <alignment horizontal="right" vertical="top" wrapText="1"/>
    </xf>
    <xf numFmtId="0" fontId="5" fillId="11" borderId="1" xfId="0" applyFont="1" applyFill="1" applyBorder="1" applyAlignment="1">
      <alignment horizontal="right" vertical="top" wrapText="1"/>
    </xf>
    <xf numFmtId="0" fontId="5" fillId="11" borderId="13" xfId="0" applyFont="1" applyFill="1" applyBorder="1" applyAlignment="1">
      <alignment horizontal="left" vertical="top" wrapText="1"/>
    </xf>
    <xf numFmtId="0" fontId="18" fillId="10" borderId="1" xfId="0" applyFont="1" applyFill="1" applyBorder="1" applyAlignment="1">
      <alignment horizontal="left" vertical="top" wrapText="1"/>
    </xf>
    <xf numFmtId="6" fontId="2" fillId="0" borderId="13" xfId="0" applyNumberFormat="1" applyFont="1" applyBorder="1" applyAlignment="1">
      <alignment horizontal="right" vertical="top" wrapText="1"/>
    </xf>
    <xf numFmtId="0" fontId="2" fillId="14" borderId="0" xfId="0" applyFont="1" applyFill="1" applyAlignment="1">
      <alignment vertical="top" wrapText="1"/>
    </xf>
    <xf numFmtId="0" fontId="11" fillId="0" borderId="1" xfId="0" applyFont="1" applyBorder="1" applyAlignment="1">
      <alignment horizontal="left" vertical="top" wrapText="1"/>
    </xf>
    <xf numFmtId="0" fontId="4" fillId="11" borderId="0" xfId="0" applyFont="1" applyFill="1" applyAlignment="1">
      <alignment horizontal="left" vertical="top" wrapText="1"/>
    </xf>
    <xf numFmtId="0" fontId="4" fillId="0" borderId="0" xfId="0" applyFont="1" applyAlignment="1">
      <alignment horizontal="left" vertical="top" wrapText="1"/>
    </xf>
    <xf numFmtId="165" fontId="10" fillId="0" borderId="13" xfId="0" applyNumberFormat="1" applyFont="1" applyBorder="1" applyAlignment="1">
      <alignment horizontal="right" vertical="top" wrapText="1"/>
    </xf>
    <xf numFmtId="0" fontId="17" fillId="0" borderId="1" xfId="0" applyFont="1" applyBorder="1" applyAlignment="1">
      <alignment horizontal="left" vertical="top" wrapText="1"/>
    </xf>
    <xf numFmtId="0" fontId="1" fillId="0" borderId="1" xfId="0" applyFont="1" applyBorder="1"/>
    <xf numFmtId="0" fontId="2" fillId="11" borderId="0" xfId="0" applyFont="1" applyFill="1" applyAlignment="1">
      <alignment horizontal="left" wrapText="1"/>
    </xf>
    <xf numFmtId="0" fontId="10" fillId="9" borderId="13" xfId="0" applyFont="1" applyFill="1" applyBorder="1" applyAlignment="1">
      <alignment horizontal="left" vertical="top" wrapText="1"/>
    </xf>
    <xf numFmtId="6" fontId="4" fillId="22" borderId="7" xfId="0" applyNumberFormat="1" applyFont="1" applyFill="1" applyBorder="1" applyAlignment="1">
      <alignment horizontal="center" vertical="center" wrapText="1"/>
    </xf>
    <xf numFmtId="6" fontId="4" fillId="22" borderId="1" xfId="0" applyNumberFormat="1" applyFont="1" applyFill="1" applyBorder="1" applyAlignment="1">
      <alignment horizontal="center" vertical="center" wrapText="1"/>
    </xf>
    <xf numFmtId="0" fontId="18" fillId="0" borderId="0" xfId="0" applyFont="1" applyAlignment="1">
      <alignment wrapText="1"/>
    </xf>
    <xf numFmtId="0" fontId="4" fillId="0" borderId="0" xfId="0" applyFont="1" applyAlignment="1">
      <alignment wrapText="1"/>
    </xf>
    <xf numFmtId="0" fontId="4" fillId="0" borderId="0" xfId="0" applyFont="1" applyAlignment="1">
      <alignment horizontal="left" wrapText="1"/>
    </xf>
    <xf numFmtId="0" fontId="18" fillId="0" borderId="0" xfId="0" applyFont="1" applyAlignment="1">
      <alignment horizontal="left" wrapText="1"/>
    </xf>
    <xf numFmtId="6" fontId="10" fillId="0" borderId="1" xfId="0" applyNumberFormat="1" applyFont="1" applyBorder="1" applyAlignment="1">
      <alignment horizontal="left" vertical="top" wrapText="1"/>
    </xf>
    <xf numFmtId="0" fontId="2" fillId="0" borderId="1" xfId="0" applyFont="1" applyBorder="1" applyAlignment="1">
      <alignment horizontal="left" vertical="top"/>
    </xf>
    <xf numFmtId="0" fontId="18" fillId="0" borderId="1" xfId="0" applyFont="1" applyBorder="1" applyAlignment="1">
      <alignment wrapText="1"/>
    </xf>
    <xf numFmtId="0" fontId="10" fillId="12" borderId="1" xfId="0" applyFont="1" applyFill="1" applyBorder="1" applyAlignment="1">
      <alignment horizontal="left" vertical="top" wrapText="1"/>
    </xf>
    <xf numFmtId="0" fontId="2" fillId="0" borderId="13" xfId="0" applyFont="1" applyBorder="1" applyAlignment="1">
      <alignment wrapText="1"/>
    </xf>
    <xf numFmtId="0" fontId="22" fillId="0" borderId="1" xfId="0" applyFont="1" applyBorder="1" applyAlignment="1">
      <alignment horizontal="left" vertical="top" wrapText="1"/>
    </xf>
    <xf numFmtId="9" fontId="2" fillId="0" borderId="0" xfId="4" applyFont="1" applyBorder="1" applyAlignment="1">
      <alignment wrapText="1"/>
    </xf>
    <xf numFmtId="0" fontId="18" fillId="0" borderId="0" xfId="0" applyFont="1" applyAlignment="1">
      <alignment horizontal="left" vertical="top" wrapText="1"/>
    </xf>
    <xf numFmtId="165" fontId="2" fillId="0" borderId="0" xfId="0" applyNumberFormat="1" applyFont="1" applyAlignment="1">
      <alignment horizontal="left" vertical="top" wrapText="1"/>
    </xf>
    <xf numFmtId="165" fontId="2" fillId="0" borderId="0" xfId="0" applyNumberFormat="1" applyFont="1" applyAlignment="1">
      <alignment vertical="top" wrapText="1"/>
    </xf>
    <xf numFmtId="0" fontId="2" fillId="0" borderId="0" xfId="0" applyFont="1" applyAlignment="1">
      <alignment horizontal="center" wrapText="1"/>
    </xf>
    <xf numFmtId="0" fontId="6" fillId="11" borderId="7" xfId="0" applyFont="1" applyFill="1" applyBorder="1" applyAlignment="1">
      <alignment vertical="top"/>
    </xf>
    <xf numFmtId="165" fontId="2" fillId="11" borderId="13" xfId="0" applyNumberFormat="1" applyFont="1" applyFill="1" applyBorder="1" applyAlignment="1">
      <alignment vertical="top" wrapText="1"/>
    </xf>
    <xf numFmtId="6" fontId="10" fillId="0" borderId="13" xfId="0" applyNumberFormat="1" applyFont="1" applyBorder="1" applyAlignment="1">
      <alignment vertical="top" wrapText="1"/>
    </xf>
    <xf numFmtId="165" fontId="8" fillId="11" borderId="13" xfId="0" applyNumberFormat="1" applyFont="1" applyFill="1" applyBorder="1" applyAlignment="1">
      <alignment vertical="top" wrapText="1"/>
    </xf>
    <xf numFmtId="0" fontId="2" fillId="11" borderId="13" xfId="0" applyFont="1" applyFill="1" applyBorder="1" applyAlignment="1">
      <alignment vertical="top" wrapText="1"/>
    </xf>
    <xf numFmtId="6" fontId="10" fillId="22" borderId="1" xfId="0" applyNumberFormat="1" applyFont="1" applyFill="1" applyBorder="1" applyAlignment="1">
      <alignment horizontal="left" vertical="top" wrapText="1"/>
    </xf>
    <xf numFmtId="0" fontId="27" fillId="0" borderId="0" xfId="0" applyFont="1" applyAlignment="1">
      <alignment wrapText="1"/>
    </xf>
    <xf numFmtId="0" fontId="11" fillId="0" borderId="7" xfId="0" applyFont="1" applyBorder="1" applyAlignment="1">
      <alignment horizontal="center" vertical="center" wrapText="1"/>
    </xf>
    <xf numFmtId="0" fontId="11" fillId="0" borderId="1" xfId="0" applyFont="1" applyBorder="1" applyAlignment="1">
      <alignment horizontal="center" vertical="center" wrapText="1"/>
    </xf>
    <xf numFmtId="165" fontId="2" fillId="0" borderId="1" xfId="0" applyNumberFormat="1" applyFont="1" applyBorder="1" applyAlignment="1">
      <alignment horizontal="right" vertical="top" wrapText="1"/>
    </xf>
    <xf numFmtId="0" fontId="4" fillId="0" borderId="7" xfId="0" applyFont="1" applyBorder="1" applyAlignment="1">
      <alignment vertical="center" wrapText="1"/>
    </xf>
    <xf numFmtId="0" fontId="4" fillId="0" borderId="1" xfId="0" applyFont="1" applyBorder="1" applyAlignment="1">
      <alignment vertical="center" wrapText="1"/>
    </xf>
    <xf numFmtId="165" fontId="2" fillId="0" borderId="13" xfId="0" applyNumberFormat="1" applyFont="1" applyBorder="1" applyAlignment="1">
      <alignment horizontal="right" vertical="top" wrapText="1"/>
    </xf>
    <xf numFmtId="0" fontId="2" fillId="16" borderId="0" xfId="0" applyFont="1" applyFill="1"/>
    <xf numFmtId="0" fontId="15" fillId="0" borderId="8" xfId="0" applyFont="1" applyBorder="1" applyAlignment="1">
      <alignment horizontal="left" vertical="top" wrapText="1"/>
    </xf>
    <xf numFmtId="165" fontId="10" fillId="0" borderId="7" xfId="0" applyNumberFormat="1" applyFont="1" applyBorder="1" applyAlignment="1">
      <alignment horizontal="right" vertical="top" wrapText="1"/>
    </xf>
    <xf numFmtId="165" fontId="5" fillId="13" borderId="7" xfId="0" applyNumberFormat="1" applyFont="1" applyFill="1" applyBorder="1" applyAlignment="1">
      <alignment horizontal="center" vertical="center" wrapText="1"/>
    </xf>
    <xf numFmtId="0" fontId="23" fillId="0" borderId="0" xfId="0" applyFont="1"/>
    <xf numFmtId="165" fontId="35" fillId="24" borderId="9" xfId="0" applyNumberFormat="1" applyFont="1" applyFill="1" applyBorder="1" applyAlignment="1">
      <alignment horizontal="center" vertical="center" wrapText="1"/>
    </xf>
    <xf numFmtId="0" fontId="38" fillId="0" borderId="3" xfId="0" applyFont="1" applyBorder="1" applyAlignment="1">
      <alignment horizontal="left" vertical="top" wrapText="1"/>
    </xf>
    <xf numFmtId="0" fontId="40" fillId="24" borderId="3" xfId="0" applyFont="1" applyFill="1" applyBorder="1" applyAlignment="1">
      <alignment horizontal="right" vertical="center" wrapText="1"/>
    </xf>
    <xf numFmtId="165" fontId="41" fillId="27" borderId="42" xfId="0" applyNumberFormat="1" applyFont="1" applyFill="1" applyBorder="1" applyAlignment="1">
      <alignment horizontal="center" vertical="center" wrapText="1"/>
    </xf>
    <xf numFmtId="165" fontId="41" fillId="27" borderId="41" xfId="0" applyNumberFormat="1" applyFont="1" applyFill="1" applyBorder="1" applyAlignment="1">
      <alignment horizontal="center" vertical="center" wrapText="1"/>
    </xf>
    <xf numFmtId="165" fontId="41" fillId="27" borderId="43" xfId="0" applyNumberFormat="1" applyFont="1" applyFill="1" applyBorder="1" applyAlignment="1">
      <alignment horizontal="center" vertical="center" wrapText="1"/>
    </xf>
    <xf numFmtId="165" fontId="35" fillId="24" borderId="1" xfId="0" applyNumberFormat="1" applyFont="1" applyFill="1" applyBorder="1" applyAlignment="1">
      <alignment horizontal="center" vertical="center" wrapText="1"/>
    </xf>
    <xf numFmtId="165" fontId="35" fillId="24" borderId="42" xfId="0" applyNumberFormat="1" applyFont="1" applyFill="1" applyBorder="1" applyAlignment="1">
      <alignment horizontal="center" vertical="center" wrapText="1"/>
    </xf>
    <xf numFmtId="0" fontId="40" fillId="24" borderId="1" xfId="0" applyFont="1" applyFill="1" applyBorder="1" applyAlignment="1">
      <alignment horizontal="right" vertical="center" wrapText="1"/>
    </xf>
    <xf numFmtId="165" fontId="35" fillId="24" borderId="41" xfId="0" applyNumberFormat="1" applyFont="1" applyFill="1" applyBorder="1" applyAlignment="1">
      <alignment horizontal="center" vertical="center" wrapText="1"/>
    </xf>
    <xf numFmtId="165" fontId="35" fillId="24" borderId="44" xfId="0" applyNumberFormat="1" applyFont="1" applyFill="1" applyBorder="1" applyAlignment="1">
      <alignment horizontal="center" vertical="center" wrapText="1"/>
    </xf>
    <xf numFmtId="165" fontId="35" fillId="24" borderId="43" xfId="0" applyNumberFormat="1" applyFont="1" applyFill="1" applyBorder="1" applyAlignment="1">
      <alignment horizontal="center" vertical="center" wrapText="1"/>
    </xf>
    <xf numFmtId="165" fontId="41" fillId="0" borderId="42" xfId="0" applyNumberFormat="1" applyFont="1" applyBorder="1" applyAlignment="1">
      <alignment horizontal="center" vertical="center" wrapText="1"/>
    </xf>
    <xf numFmtId="165" fontId="42" fillId="0" borderId="42" xfId="0" applyNumberFormat="1" applyFont="1" applyBorder="1" applyAlignment="1">
      <alignment horizontal="center" vertical="center" wrapText="1"/>
    </xf>
    <xf numFmtId="0" fontId="45" fillId="27" borderId="8" xfId="0" applyFont="1" applyFill="1" applyBorder="1" applyAlignment="1">
      <alignment horizontal="center" vertical="center" wrapText="1"/>
    </xf>
    <xf numFmtId="0" fontId="37" fillId="11" borderId="1" xfId="0" applyFont="1" applyFill="1" applyBorder="1" applyAlignment="1">
      <alignment vertical="top"/>
    </xf>
    <xf numFmtId="6" fontId="40" fillId="0" borderId="8" xfId="0" applyNumberFormat="1" applyFont="1" applyBorder="1" applyAlignment="1">
      <alignment vertical="top" wrapText="1"/>
    </xf>
    <xf numFmtId="0" fontId="0" fillId="27" borderId="1" xfId="0" applyFill="1" applyBorder="1"/>
    <xf numFmtId="165" fontId="41" fillId="21" borderId="3" xfId="0" applyNumberFormat="1" applyFont="1" applyFill="1" applyBorder="1" applyAlignment="1">
      <alignment horizontal="center" vertical="center" wrapText="1"/>
    </xf>
    <xf numFmtId="165" fontId="41" fillId="21" borderId="41" xfId="0" applyNumberFormat="1" applyFont="1" applyFill="1" applyBorder="1" applyAlignment="1">
      <alignment horizontal="center" vertical="center" wrapText="1"/>
    </xf>
    <xf numFmtId="6" fontId="40" fillId="0" borderId="5" xfId="0" applyNumberFormat="1" applyFont="1" applyBorder="1" applyAlignment="1">
      <alignment vertical="top" wrapText="1"/>
    </xf>
    <xf numFmtId="6" fontId="38" fillId="26" borderId="3" xfId="0" applyNumberFormat="1" applyFont="1" applyFill="1" applyBorder="1" applyAlignment="1">
      <alignment horizontal="center" vertical="center" wrapText="1"/>
    </xf>
    <xf numFmtId="165" fontId="35" fillId="0" borderId="0" xfId="0" applyNumberFormat="1" applyFont="1" applyAlignment="1">
      <alignment vertical="top" wrapText="1"/>
    </xf>
    <xf numFmtId="0" fontId="46" fillId="0" borderId="0" xfId="0" applyFont="1" applyAlignment="1">
      <alignment horizontal="right" vertical="top" wrapText="1"/>
    </xf>
    <xf numFmtId="0" fontId="40" fillId="11" borderId="4" xfId="0" applyFont="1" applyFill="1" applyBorder="1" applyAlignment="1">
      <alignment horizontal="left" vertical="top" wrapText="1"/>
    </xf>
    <xf numFmtId="0" fontId="38" fillId="27" borderId="17" xfId="0" applyFont="1" applyFill="1" applyBorder="1" applyAlignment="1">
      <alignment horizontal="center" vertical="top" wrapText="1"/>
    </xf>
    <xf numFmtId="6" fontId="38" fillId="27" borderId="3" xfId="0" applyNumberFormat="1" applyFont="1" applyFill="1" applyBorder="1" applyAlignment="1">
      <alignment horizontal="center" vertical="center" wrapText="1"/>
    </xf>
    <xf numFmtId="6" fontId="38" fillId="27" borderId="8" xfId="0" applyNumberFormat="1" applyFont="1" applyFill="1" applyBorder="1" applyAlignment="1">
      <alignment horizontal="center" vertical="center" wrapText="1"/>
    </xf>
    <xf numFmtId="6" fontId="38" fillId="12" borderId="3" xfId="0" applyNumberFormat="1" applyFont="1" applyFill="1" applyBorder="1" applyAlignment="1">
      <alignment horizontal="center" vertical="center" wrapText="1"/>
    </xf>
    <xf numFmtId="165" fontId="41" fillId="0" borderId="1" xfId="0" applyNumberFormat="1" applyFont="1" applyBorder="1" applyAlignment="1">
      <alignment horizontal="center" vertical="center" wrapText="1"/>
    </xf>
    <xf numFmtId="6" fontId="38" fillId="12" borderId="8" xfId="0" applyNumberFormat="1" applyFont="1" applyFill="1" applyBorder="1" applyAlignment="1">
      <alignment horizontal="center" vertical="center" wrapText="1"/>
    </xf>
    <xf numFmtId="165" fontId="40" fillId="28" borderId="3" xfId="0" applyNumberFormat="1" applyFont="1" applyFill="1" applyBorder="1" applyAlignment="1">
      <alignment horizontal="center" vertical="center" wrapText="1"/>
    </xf>
    <xf numFmtId="165" fontId="41" fillId="27" borderId="3" xfId="0" applyNumberFormat="1" applyFont="1" applyFill="1" applyBorder="1" applyAlignment="1">
      <alignment horizontal="center" vertical="center" wrapText="1"/>
    </xf>
    <xf numFmtId="0" fontId="38" fillId="27" borderId="3" xfId="0" applyFont="1" applyFill="1" applyBorder="1" applyAlignment="1">
      <alignment horizontal="left" vertical="center" wrapText="1"/>
    </xf>
    <xf numFmtId="0" fontId="40" fillId="24" borderId="3" xfId="0" applyFont="1" applyFill="1" applyBorder="1" applyAlignment="1">
      <alignment horizontal="left" vertical="center" wrapText="1"/>
    </xf>
    <xf numFmtId="0" fontId="40" fillId="24" borderId="1" xfId="0" applyFont="1" applyFill="1" applyBorder="1" applyAlignment="1">
      <alignment horizontal="left" vertical="center" wrapText="1"/>
    </xf>
    <xf numFmtId="6" fontId="38" fillId="27" borderId="5" xfId="0" applyNumberFormat="1" applyFont="1" applyFill="1" applyBorder="1" applyAlignment="1">
      <alignment horizontal="center" vertical="center" wrapText="1"/>
    </xf>
    <xf numFmtId="0" fontId="38" fillId="5" borderId="3" xfId="0" applyFont="1" applyFill="1" applyBorder="1" applyAlignment="1">
      <alignment horizontal="right" vertical="center" wrapText="1"/>
    </xf>
    <xf numFmtId="165" fontId="41" fillId="5" borderId="9" xfId="0" applyNumberFormat="1" applyFont="1" applyFill="1" applyBorder="1" applyAlignment="1">
      <alignment horizontal="center" vertical="center" wrapText="1"/>
    </xf>
    <xf numFmtId="0" fontId="38" fillId="5" borderId="1" xfId="0" applyFont="1" applyFill="1" applyBorder="1" applyAlignment="1">
      <alignment horizontal="right" vertical="center" wrapText="1"/>
    </xf>
    <xf numFmtId="165" fontId="41" fillId="24" borderId="9" xfId="0" applyNumberFormat="1" applyFont="1" applyFill="1" applyBorder="1" applyAlignment="1">
      <alignment horizontal="center" vertical="center" wrapText="1"/>
    </xf>
    <xf numFmtId="0" fontId="35" fillId="27" borderId="0" xfId="0" applyFont="1" applyFill="1" applyAlignment="1">
      <alignment vertical="top" wrapText="1"/>
    </xf>
    <xf numFmtId="0" fontId="35" fillId="27" borderId="0" xfId="0" applyFont="1" applyFill="1" applyAlignment="1">
      <alignment horizontal="left" vertical="top" wrapText="1"/>
    </xf>
    <xf numFmtId="0" fontId="35" fillId="27" borderId="0" xfId="0" applyFont="1" applyFill="1" applyAlignment="1">
      <alignment horizontal="center" vertical="center" wrapText="1"/>
    </xf>
    <xf numFmtId="0" fontId="35" fillId="27" borderId="17" xfId="0" applyFont="1" applyFill="1" applyBorder="1" applyAlignment="1">
      <alignment horizontal="center" vertical="center" wrapText="1"/>
    </xf>
    <xf numFmtId="165" fontId="41" fillId="25" borderId="4" xfId="0" applyNumberFormat="1" applyFont="1" applyFill="1" applyBorder="1" applyAlignment="1">
      <alignment horizontal="center" vertical="center" wrapText="1"/>
    </xf>
    <xf numFmtId="165" fontId="41" fillId="26" borderId="4" xfId="0" applyNumberFormat="1" applyFont="1" applyFill="1" applyBorder="1" applyAlignment="1">
      <alignment horizontal="center" vertical="center" wrapText="1"/>
    </xf>
    <xf numFmtId="165" fontId="41" fillId="22" borderId="4" xfId="0" applyNumberFormat="1" applyFont="1" applyFill="1" applyBorder="1" applyAlignment="1">
      <alignment horizontal="center" vertical="center" wrapText="1"/>
    </xf>
    <xf numFmtId="6" fontId="38" fillId="0" borderId="8" xfId="0" applyNumberFormat="1" applyFont="1" applyBorder="1" applyAlignment="1">
      <alignment horizontal="center" vertical="center" wrapText="1"/>
    </xf>
    <xf numFmtId="6" fontId="38" fillId="21" borderId="8" xfId="0" applyNumberFormat="1" applyFont="1" applyFill="1" applyBorder="1" applyAlignment="1">
      <alignment horizontal="center" vertical="center" wrapText="1"/>
    </xf>
    <xf numFmtId="165" fontId="41" fillId="0" borderId="5" xfId="0" applyNumberFormat="1" applyFont="1" applyBorder="1" applyAlignment="1">
      <alignment horizontal="center" vertical="center" wrapText="1"/>
    </xf>
    <xf numFmtId="6" fontId="38" fillId="0" borderId="5" xfId="0" applyNumberFormat="1" applyFont="1" applyBorder="1" applyAlignment="1">
      <alignment horizontal="center" vertical="center" wrapText="1"/>
    </xf>
    <xf numFmtId="165" fontId="41" fillId="0" borderId="0" xfId="0" applyNumberFormat="1" applyFont="1" applyAlignment="1">
      <alignment horizontal="center" vertical="center" wrapText="1"/>
    </xf>
    <xf numFmtId="0" fontId="38" fillId="21" borderId="3" xfId="0" applyFont="1" applyFill="1" applyBorder="1" applyAlignment="1">
      <alignment horizontal="left" vertical="top" wrapText="1"/>
    </xf>
    <xf numFmtId="165" fontId="38" fillId="21" borderId="3" xfId="0" applyNumberFormat="1" applyFont="1" applyFill="1" applyBorder="1" applyAlignment="1">
      <alignment horizontal="center" vertical="center" wrapText="1"/>
    </xf>
    <xf numFmtId="165" fontId="41" fillId="21" borderId="9" xfId="0" applyNumberFormat="1" applyFont="1" applyFill="1" applyBorder="1" applyAlignment="1">
      <alignment horizontal="center" vertical="center" wrapText="1"/>
    </xf>
    <xf numFmtId="165" fontId="41" fillId="0" borderId="8" xfId="0" applyNumberFormat="1" applyFont="1" applyBorder="1" applyAlignment="1">
      <alignment horizontal="center" vertical="center" wrapText="1"/>
    </xf>
    <xf numFmtId="6" fontId="38" fillId="26" borderId="8" xfId="0" applyNumberFormat="1" applyFont="1" applyFill="1" applyBorder="1" applyAlignment="1">
      <alignment horizontal="center" vertical="center" wrapText="1"/>
    </xf>
    <xf numFmtId="6" fontId="38" fillId="27" borderId="11" xfId="0" applyNumberFormat="1" applyFont="1" applyFill="1" applyBorder="1" applyAlignment="1">
      <alignment horizontal="center" vertical="center" wrapText="1"/>
    </xf>
    <xf numFmtId="6" fontId="38" fillId="0" borderId="11" xfId="0" applyNumberFormat="1" applyFont="1" applyBorder="1" applyAlignment="1">
      <alignment horizontal="center" vertical="center" wrapText="1"/>
    </xf>
    <xf numFmtId="6" fontId="40" fillId="0" borderId="9" xfId="0" applyNumberFormat="1" applyFont="1" applyBorder="1" applyAlignment="1">
      <alignment horizontal="center" vertical="center" wrapText="1"/>
    </xf>
    <xf numFmtId="165" fontId="38" fillId="0" borderId="11" xfId="0" applyNumberFormat="1" applyFont="1" applyBorder="1" applyAlignment="1">
      <alignment horizontal="center" vertical="center" wrapText="1"/>
    </xf>
    <xf numFmtId="6" fontId="40" fillId="0" borderId="3" xfId="0" applyNumberFormat="1" applyFont="1" applyBorder="1" applyAlignment="1">
      <alignment vertical="center" wrapText="1"/>
    </xf>
    <xf numFmtId="165" fontId="41" fillId="26" borderId="3" xfId="0" applyNumberFormat="1" applyFont="1" applyFill="1" applyBorder="1" applyAlignment="1">
      <alignment horizontal="center" vertical="center" wrapText="1"/>
    </xf>
    <xf numFmtId="6" fontId="38" fillId="0" borderId="3" xfId="0" applyNumberFormat="1" applyFont="1" applyBorder="1" applyAlignment="1">
      <alignment horizontal="center" vertical="center" wrapText="1"/>
    </xf>
    <xf numFmtId="165" fontId="41" fillId="0" borderId="0" xfId="0" applyNumberFormat="1" applyFont="1" applyAlignment="1">
      <alignment vertical="top" wrapText="1"/>
    </xf>
    <xf numFmtId="165" fontId="38" fillId="26" borderId="3" xfId="0" applyNumberFormat="1" applyFont="1" applyFill="1" applyBorder="1" applyAlignment="1">
      <alignment horizontal="center" vertical="center" wrapText="1"/>
    </xf>
    <xf numFmtId="165" fontId="40" fillId="34" borderId="3" xfId="0" applyNumberFormat="1" applyFont="1" applyFill="1" applyBorder="1" applyAlignment="1">
      <alignment horizontal="center" vertical="center" wrapText="1"/>
    </xf>
    <xf numFmtId="165" fontId="35" fillId="34" borderId="3" xfId="0" applyNumberFormat="1" applyFont="1" applyFill="1" applyBorder="1" applyAlignment="1">
      <alignment horizontal="center" vertical="center" wrapText="1"/>
    </xf>
    <xf numFmtId="0" fontId="36" fillId="27" borderId="55" xfId="0" applyFont="1" applyFill="1" applyBorder="1" applyAlignment="1">
      <alignment horizontal="center" vertical="center" wrapText="1"/>
    </xf>
    <xf numFmtId="0" fontId="36" fillId="27" borderId="11" xfId="0" applyFont="1" applyFill="1" applyBorder="1" applyAlignment="1">
      <alignment horizontal="center" vertical="center" wrapText="1"/>
    </xf>
    <xf numFmtId="6" fontId="40" fillId="11" borderId="58" xfId="0" applyNumberFormat="1" applyFont="1" applyFill="1" applyBorder="1" applyAlignment="1">
      <alignment horizontal="right" vertical="top" wrapText="1"/>
    </xf>
    <xf numFmtId="165" fontId="38" fillId="27" borderId="59" xfId="0" applyNumberFormat="1" applyFont="1" applyFill="1" applyBorder="1" applyAlignment="1">
      <alignment horizontal="right" vertical="center" wrapText="1"/>
    </xf>
    <xf numFmtId="165" fontId="38" fillId="33" borderId="59" xfId="0" applyNumberFormat="1" applyFont="1" applyFill="1" applyBorder="1" applyAlignment="1">
      <alignment horizontal="right" vertical="center" wrapText="1"/>
    </xf>
    <xf numFmtId="165" fontId="40" fillId="35" borderId="59" xfId="0" applyNumberFormat="1" applyFont="1" applyFill="1" applyBorder="1" applyAlignment="1">
      <alignment horizontal="right" vertical="center" wrapText="1"/>
    </xf>
    <xf numFmtId="165" fontId="35" fillId="35" borderId="59" xfId="0" applyNumberFormat="1" applyFont="1" applyFill="1" applyBorder="1" applyAlignment="1">
      <alignment horizontal="right" vertical="center" wrapText="1"/>
    </xf>
    <xf numFmtId="165" fontId="35" fillId="35" borderId="58" xfId="0" applyNumberFormat="1" applyFont="1" applyFill="1" applyBorder="1" applyAlignment="1">
      <alignment horizontal="right" vertical="center" wrapText="1"/>
    </xf>
    <xf numFmtId="6" fontId="40" fillId="11" borderId="4" xfId="0" applyNumberFormat="1" applyFont="1" applyFill="1" applyBorder="1" applyAlignment="1">
      <alignment horizontal="right" vertical="top" wrapText="1"/>
    </xf>
    <xf numFmtId="165" fontId="38" fillId="0" borderId="9" xfId="0" applyNumberFormat="1" applyFont="1" applyBorder="1" applyAlignment="1">
      <alignment horizontal="center" vertical="center" wrapText="1"/>
    </xf>
    <xf numFmtId="165" fontId="40" fillId="24" borderId="9" xfId="0" applyNumberFormat="1" applyFont="1" applyFill="1" applyBorder="1" applyAlignment="1">
      <alignment horizontal="center" vertical="center" wrapText="1"/>
    </xf>
    <xf numFmtId="165" fontId="40" fillId="28" borderId="9" xfId="0" applyNumberFormat="1" applyFont="1" applyFill="1" applyBorder="1" applyAlignment="1">
      <alignment horizontal="center" vertical="center" wrapText="1"/>
    </xf>
    <xf numFmtId="165" fontId="35" fillId="24" borderId="4" xfId="0" applyNumberFormat="1" applyFont="1" applyFill="1" applyBorder="1" applyAlignment="1">
      <alignment horizontal="center" vertical="center" wrapText="1"/>
    </xf>
    <xf numFmtId="165" fontId="38" fillId="0" borderId="56" xfId="0" applyNumberFormat="1" applyFont="1" applyBorder="1" applyAlignment="1">
      <alignment horizontal="right" vertical="center" wrapText="1"/>
    </xf>
    <xf numFmtId="165" fontId="38" fillId="0" borderId="57" xfId="0" applyNumberFormat="1" applyFont="1" applyBorder="1" applyAlignment="1">
      <alignment horizontal="right" vertical="center" wrapText="1"/>
    </xf>
    <xf numFmtId="165" fontId="35" fillId="24" borderId="59" xfId="0" applyNumberFormat="1" applyFont="1" applyFill="1" applyBorder="1" applyAlignment="1">
      <alignment horizontal="center" vertical="center" wrapText="1"/>
    </xf>
    <xf numFmtId="165" fontId="35" fillId="24" borderId="58" xfId="0" applyNumberFormat="1" applyFont="1" applyFill="1" applyBorder="1" applyAlignment="1">
      <alignment horizontal="center" vertical="center" wrapText="1"/>
    </xf>
    <xf numFmtId="165" fontId="40" fillId="21" borderId="59" xfId="0" applyNumberFormat="1" applyFont="1" applyFill="1" applyBorder="1" applyAlignment="1">
      <alignment horizontal="center" vertical="center" wrapText="1"/>
    </xf>
    <xf numFmtId="165" fontId="40" fillId="24" borderId="60" xfId="0" applyNumberFormat="1" applyFont="1" applyFill="1" applyBorder="1" applyAlignment="1">
      <alignment horizontal="center" vertical="center" wrapText="1"/>
    </xf>
    <xf numFmtId="165" fontId="35" fillId="24" borderId="60" xfId="0" applyNumberFormat="1" applyFont="1" applyFill="1" applyBorder="1" applyAlignment="1">
      <alignment horizontal="center" vertical="center" wrapText="1"/>
    </xf>
    <xf numFmtId="165" fontId="35" fillId="24" borderId="61" xfId="0" applyNumberFormat="1" applyFont="1" applyFill="1" applyBorder="1" applyAlignment="1">
      <alignment horizontal="center" vertical="center" wrapText="1"/>
    </xf>
    <xf numFmtId="165" fontId="39" fillId="28" borderId="60" xfId="0" applyNumberFormat="1" applyFont="1" applyFill="1" applyBorder="1" applyAlignment="1">
      <alignment horizontal="center" vertical="center" wrapText="1"/>
    </xf>
    <xf numFmtId="165" fontId="40" fillId="28" borderId="60" xfId="0" applyNumberFormat="1" applyFont="1" applyFill="1" applyBorder="1" applyAlignment="1">
      <alignment horizontal="center" vertical="center" wrapText="1"/>
    </xf>
    <xf numFmtId="165" fontId="35" fillId="28" borderId="60" xfId="0" applyNumberFormat="1" applyFont="1" applyFill="1" applyBorder="1" applyAlignment="1">
      <alignment horizontal="center" vertical="center" wrapText="1"/>
    </xf>
    <xf numFmtId="165" fontId="35" fillId="28" borderId="61" xfId="0" applyNumberFormat="1" applyFont="1" applyFill="1" applyBorder="1" applyAlignment="1">
      <alignment horizontal="center" vertical="center" wrapText="1"/>
    </xf>
    <xf numFmtId="165" fontId="41" fillId="21" borderId="59" xfId="0" applyNumberFormat="1" applyFont="1" applyFill="1" applyBorder="1" applyAlignment="1">
      <alignment horizontal="center" vertical="center" wrapText="1"/>
    </xf>
    <xf numFmtId="165" fontId="40" fillId="24" borderId="61" xfId="0" applyNumberFormat="1" applyFont="1" applyFill="1" applyBorder="1" applyAlignment="1">
      <alignment horizontal="center" vertical="center" wrapText="1"/>
    </xf>
    <xf numFmtId="165" fontId="38" fillId="21" borderId="41" xfId="0" applyNumberFormat="1" applyFont="1" applyFill="1" applyBorder="1" applyAlignment="1">
      <alignment horizontal="center" vertical="center" wrapText="1"/>
    </xf>
    <xf numFmtId="165" fontId="38" fillId="21" borderId="43" xfId="0" applyNumberFormat="1" applyFont="1" applyFill="1" applyBorder="1" applyAlignment="1">
      <alignment horizontal="center" vertical="center" wrapText="1"/>
    </xf>
    <xf numFmtId="9" fontId="40" fillId="34" borderId="3" xfId="0" applyNumberFormat="1" applyFont="1" applyFill="1" applyBorder="1" applyAlignment="1">
      <alignment horizontal="center" vertical="center" wrapText="1"/>
    </xf>
    <xf numFmtId="9" fontId="35" fillId="34" borderId="3" xfId="0" applyNumberFormat="1" applyFont="1" applyFill="1" applyBorder="1" applyAlignment="1">
      <alignment horizontal="center" vertical="center" wrapText="1"/>
    </xf>
    <xf numFmtId="9" fontId="38" fillId="26" borderId="3" xfId="0" applyNumberFormat="1" applyFont="1" applyFill="1" applyBorder="1" applyAlignment="1">
      <alignment horizontal="center" vertical="center" wrapText="1"/>
    </xf>
    <xf numFmtId="10" fontId="41" fillId="0" borderId="0" xfId="0" applyNumberFormat="1" applyFont="1" applyAlignment="1">
      <alignment vertical="top" wrapText="1"/>
    </xf>
    <xf numFmtId="165" fontId="41" fillId="24" borderId="41" xfId="0" applyNumberFormat="1" applyFont="1" applyFill="1" applyBorder="1" applyAlignment="1">
      <alignment horizontal="center" vertical="center" wrapText="1"/>
    </xf>
    <xf numFmtId="165" fontId="41" fillId="27" borderId="59" xfId="0" applyNumberFormat="1" applyFont="1" applyFill="1" applyBorder="1" applyAlignment="1">
      <alignment horizontal="right" vertical="center" wrapText="1"/>
    </xf>
    <xf numFmtId="165" fontId="35" fillId="24" borderId="59" xfId="0" applyNumberFormat="1" applyFont="1" applyFill="1" applyBorder="1" applyAlignment="1">
      <alignment horizontal="right" vertical="center" wrapText="1"/>
    </xf>
    <xf numFmtId="165" fontId="41" fillId="27" borderId="61" xfId="0" applyNumberFormat="1" applyFont="1" applyFill="1" applyBorder="1" applyAlignment="1">
      <alignment horizontal="right" vertical="center" wrapText="1"/>
    </xf>
    <xf numFmtId="165" fontId="41" fillId="27" borderId="59" xfId="0" applyNumberFormat="1" applyFont="1" applyFill="1" applyBorder="1" applyAlignment="1">
      <alignment vertical="center" wrapText="1"/>
    </xf>
    <xf numFmtId="165" fontId="41" fillId="27" borderId="61" xfId="0" applyNumberFormat="1" applyFont="1" applyFill="1" applyBorder="1" applyAlignment="1">
      <alignment vertical="center" wrapText="1"/>
    </xf>
    <xf numFmtId="165" fontId="35" fillId="24" borderId="59" xfId="0" applyNumberFormat="1" applyFont="1" applyFill="1" applyBorder="1" applyAlignment="1">
      <alignment vertical="center" wrapText="1"/>
    </xf>
    <xf numFmtId="165" fontId="35" fillId="24" borderId="58" xfId="0" applyNumberFormat="1" applyFont="1" applyFill="1" applyBorder="1" applyAlignment="1">
      <alignment vertical="center" wrapText="1"/>
    </xf>
    <xf numFmtId="165" fontId="41" fillId="24" borderId="61" xfId="0" applyNumberFormat="1" applyFont="1" applyFill="1" applyBorder="1" applyAlignment="1">
      <alignment horizontal="center" vertical="center" wrapText="1"/>
    </xf>
    <xf numFmtId="9" fontId="41" fillId="26" borderId="3" xfId="0" applyNumberFormat="1" applyFont="1" applyFill="1" applyBorder="1" applyAlignment="1">
      <alignment horizontal="center" vertical="center" wrapText="1"/>
    </xf>
    <xf numFmtId="165" fontId="35" fillId="34" borderId="1" xfId="0" applyNumberFormat="1" applyFont="1" applyFill="1" applyBorder="1" applyAlignment="1">
      <alignment horizontal="center" vertical="center" wrapText="1"/>
    </xf>
    <xf numFmtId="9" fontId="35" fillId="34" borderId="1" xfId="0" applyNumberFormat="1" applyFont="1" applyFill="1" applyBorder="1" applyAlignment="1">
      <alignment horizontal="center" vertical="center" wrapText="1"/>
    </xf>
    <xf numFmtId="165" fontId="41" fillId="0" borderId="2" xfId="0" applyNumberFormat="1" applyFont="1" applyBorder="1" applyAlignment="1">
      <alignment horizontal="center" vertical="center" wrapText="1"/>
    </xf>
    <xf numFmtId="0" fontId="38" fillId="0" borderId="10" xfId="0" applyFont="1" applyBorder="1" applyAlignment="1">
      <alignment horizontal="left" vertical="center" wrapText="1"/>
    </xf>
    <xf numFmtId="165" fontId="41" fillId="0" borderId="6" xfId="0" applyNumberFormat="1" applyFont="1" applyBorder="1" applyAlignment="1">
      <alignment horizontal="center" vertical="center" wrapText="1"/>
    </xf>
    <xf numFmtId="0" fontId="38" fillId="0" borderId="16" xfId="0" applyFont="1" applyBorder="1" applyAlignment="1">
      <alignment horizontal="left" vertical="center" wrapText="1"/>
    </xf>
    <xf numFmtId="164" fontId="41" fillId="0" borderId="0" xfId="0" applyNumberFormat="1" applyFont="1" applyAlignment="1">
      <alignment horizontal="center" vertical="center" wrapText="1"/>
    </xf>
    <xf numFmtId="165" fontId="41" fillId="0" borderId="11" xfId="0" applyNumberFormat="1" applyFont="1" applyBorder="1" applyAlignment="1">
      <alignment horizontal="center" vertical="center" wrapText="1"/>
    </xf>
    <xf numFmtId="165" fontId="41" fillId="0" borderId="10" xfId="0" applyNumberFormat="1" applyFont="1" applyBorder="1" applyAlignment="1">
      <alignment horizontal="center" vertical="center" wrapText="1"/>
    </xf>
    <xf numFmtId="165" fontId="41" fillId="0" borderId="16" xfId="0" applyNumberFormat="1" applyFont="1" applyBorder="1" applyAlignment="1">
      <alignment horizontal="center" vertical="center" wrapText="1"/>
    </xf>
    <xf numFmtId="6" fontId="40" fillId="27" borderId="9" xfId="0" applyNumberFormat="1" applyFont="1" applyFill="1" applyBorder="1" applyAlignment="1">
      <alignment horizontal="center" vertical="center" wrapText="1"/>
    </xf>
    <xf numFmtId="0" fontId="40" fillId="0" borderId="5" xfId="0" applyFont="1" applyBorder="1" applyAlignment="1">
      <alignment horizontal="center" vertical="center" wrapText="1"/>
    </xf>
    <xf numFmtId="0" fontId="20" fillId="0" borderId="1" xfId="0" applyFont="1" applyBorder="1" applyAlignment="1">
      <alignment horizontal="center" vertical="center"/>
    </xf>
    <xf numFmtId="0" fontId="9" fillId="27" borderId="1" xfId="0" applyFont="1" applyFill="1" applyBorder="1"/>
    <xf numFmtId="0" fontId="40" fillId="11" borderId="1" xfId="0" applyFont="1" applyFill="1" applyBorder="1" applyAlignment="1">
      <alignment horizontal="left" vertical="top" textRotation="180" wrapText="1"/>
    </xf>
    <xf numFmtId="6" fontId="40" fillId="27" borderId="48" xfId="0" applyNumberFormat="1" applyFont="1" applyFill="1" applyBorder="1" applyAlignment="1">
      <alignment horizontal="center" vertical="center" wrapText="1"/>
    </xf>
    <xf numFmtId="6" fontId="38" fillId="27" borderId="50" xfId="0" applyNumberFormat="1" applyFont="1" applyFill="1" applyBorder="1" applyAlignment="1">
      <alignment horizontal="center" vertical="center" wrapText="1"/>
    </xf>
    <xf numFmtId="6" fontId="40" fillId="0" borderId="6" xfId="0" applyNumberFormat="1" applyFont="1" applyBorder="1" applyAlignment="1">
      <alignment vertical="top" wrapText="1"/>
    </xf>
    <xf numFmtId="6" fontId="40" fillId="0" borderId="17" xfId="0" applyNumberFormat="1" applyFont="1" applyBorder="1" applyAlignment="1">
      <alignment vertical="top" wrapText="1"/>
    </xf>
    <xf numFmtId="6" fontId="40" fillId="11" borderId="4" xfId="0" applyNumberFormat="1" applyFont="1" applyFill="1" applyBorder="1" applyAlignment="1">
      <alignment vertical="top" wrapText="1"/>
    </xf>
    <xf numFmtId="6" fontId="40" fillId="27" borderId="11" xfId="0" applyNumberFormat="1" applyFont="1" applyFill="1" applyBorder="1" applyAlignment="1">
      <alignment horizontal="center" vertical="center" wrapText="1"/>
    </xf>
    <xf numFmtId="6" fontId="40" fillId="27" borderId="50" xfId="0" applyNumberFormat="1" applyFont="1" applyFill="1" applyBorder="1" applyAlignment="1">
      <alignment horizontal="center" vertical="center" wrapText="1"/>
    </xf>
    <xf numFmtId="6" fontId="40" fillId="36" borderId="5" xfId="0" applyNumberFormat="1" applyFont="1" applyFill="1" applyBorder="1" applyAlignment="1">
      <alignment horizontal="center" vertical="center" wrapText="1"/>
    </xf>
    <xf numFmtId="6" fontId="38" fillId="36" borderId="8" xfId="0" applyNumberFormat="1" applyFont="1" applyFill="1" applyBorder="1" applyAlignment="1">
      <alignment horizontal="center" vertical="center" wrapText="1"/>
    </xf>
    <xf numFmtId="6" fontId="38" fillId="25" borderId="8" xfId="0" applyNumberFormat="1" applyFont="1" applyFill="1" applyBorder="1" applyAlignment="1">
      <alignment horizontal="center" vertical="center" wrapText="1"/>
    </xf>
    <xf numFmtId="6" fontId="40" fillId="25" borderId="3" xfId="0" applyNumberFormat="1" applyFont="1" applyFill="1" applyBorder="1" applyAlignment="1">
      <alignment horizontal="center" vertical="center" wrapText="1"/>
    </xf>
    <xf numFmtId="6" fontId="38" fillId="25" borderId="5" xfId="0" applyNumberFormat="1" applyFont="1" applyFill="1" applyBorder="1" applyAlignment="1">
      <alignment vertical="center" wrapText="1"/>
    </xf>
    <xf numFmtId="6" fontId="38" fillId="36" borderId="3" xfId="0" applyNumberFormat="1" applyFont="1" applyFill="1" applyBorder="1" applyAlignment="1">
      <alignment horizontal="center" vertical="center" wrapText="1"/>
    </xf>
    <xf numFmtId="6" fontId="40" fillId="36" borderId="3" xfId="0" applyNumberFormat="1" applyFont="1" applyFill="1" applyBorder="1" applyAlignment="1">
      <alignment horizontal="center" vertical="center" wrapText="1"/>
    </xf>
    <xf numFmtId="0" fontId="40" fillId="11" borderId="36" xfId="0" applyFont="1" applyFill="1" applyBorder="1" applyAlignment="1">
      <alignment vertical="top" wrapText="1"/>
    </xf>
    <xf numFmtId="6" fontId="38" fillId="12" borderId="11" xfId="0" applyNumberFormat="1" applyFont="1" applyFill="1" applyBorder="1" applyAlignment="1">
      <alignment horizontal="center" vertical="center" wrapText="1"/>
    </xf>
    <xf numFmtId="6" fontId="38" fillId="26" borderId="9" xfId="0" applyNumberFormat="1" applyFont="1" applyFill="1" applyBorder="1" applyAlignment="1">
      <alignment horizontal="center" vertical="center" wrapText="1"/>
    </xf>
    <xf numFmtId="0" fontId="40" fillId="11" borderId="78" xfId="0" applyFont="1" applyFill="1" applyBorder="1" applyAlignment="1">
      <alignment vertical="top" wrapText="1"/>
    </xf>
    <xf numFmtId="0" fontId="40" fillId="11" borderId="78" xfId="0" applyFont="1" applyFill="1" applyBorder="1" applyAlignment="1">
      <alignment horizontal="left" vertical="top" wrapText="1"/>
    </xf>
    <xf numFmtId="6" fontId="40" fillId="11" borderId="78" xfId="0" applyNumberFormat="1" applyFont="1" applyFill="1" applyBorder="1" applyAlignment="1">
      <alignment horizontal="right" vertical="top" wrapText="1"/>
    </xf>
    <xf numFmtId="6" fontId="40" fillId="11" borderId="80" xfId="0" applyNumberFormat="1" applyFont="1" applyFill="1" applyBorder="1" applyAlignment="1">
      <alignment vertical="top" wrapText="1"/>
    </xf>
    <xf numFmtId="6" fontId="40" fillId="11" borderId="78" xfId="0" applyNumberFormat="1" applyFont="1" applyFill="1" applyBorder="1" applyAlignment="1">
      <alignment vertical="top" wrapText="1"/>
    </xf>
    <xf numFmtId="0" fontId="40" fillId="11" borderId="79" xfId="0" applyFont="1" applyFill="1" applyBorder="1" applyAlignment="1">
      <alignment horizontal="left" vertical="top" wrapText="1"/>
    </xf>
    <xf numFmtId="6" fontId="40" fillId="11" borderId="81" xfId="0" applyNumberFormat="1" applyFont="1" applyFill="1" applyBorder="1" applyAlignment="1">
      <alignment horizontal="right" vertical="top" wrapText="1"/>
    </xf>
    <xf numFmtId="0" fontId="40" fillId="11" borderId="82" xfId="0" applyFont="1" applyFill="1" applyBorder="1" applyAlignment="1">
      <alignment vertical="top" wrapText="1"/>
    </xf>
    <xf numFmtId="6" fontId="40" fillId="11" borderId="80" xfId="0" applyNumberFormat="1" applyFont="1" applyFill="1" applyBorder="1" applyAlignment="1">
      <alignment horizontal="right" vertical="top" wrapText="1"/>
    </xf>
    <xf numFmtId="6" fontId="40" fillId="36" borderId="49" xfId="0" applyNumberFormat="1" applyFont="1" applyFill="1" applyBorder="1" applyAlignment="1">
      <alignment horizontal="center" vertical="center" wrapText="1"/>
    </xf>
    <xf numFmtId="6" fontId="40" fillId="0" borderId="11" xfId="0" applyNumberFormat="1" applyFont="1" applyBorder="1" applyAlignment="1">
      <alignment horizontal="center" vertical="center" wrapText="1"/>
    </xf>
    <xf numFmtId="6" fontId="40" fillId="11" borderId="62" xfId="0" applyNumberFormat="1" applyFont="1" applyFill="1" applyBorder="1" applyAlignment="1">
      <alignment horizontal="right" vertical="top" wrapText="1"/>
    </xf>
    <xf numFmtId="6" fontId="40" fillId="36" borderId="50" xfId="0" applyNumberFormat="1" applyFont="1" applyFill="1" applyBorder="1" applyAlignment="1">
      <alignment horizontal="center" vertical="center" wrapText="1"/>
    </xf>
    <xf numFmtId="6" fontId="40" fillId="36" borderId="51" xfId="0" applyNumberFormat="1" applyFont="1" applyFill="1" applyBorder="1" applyAlignment="1">
      <alignment horizontal="center" vertical="center" wrapText="1"/>
    </xf>
    <xf numFmtId="6" fontId="40" fillId="36" borderId="97" xfId="0" applyNumberFormat="1" applyFont="1" applyFill="1" applyBorder="1" applyAlignment="1">
      <alignment horizontal="center" vertical="center" wrapText="1"/>
    </xf>
    <xf numFmtId="6" fontId="38" fillId="36" borderId="48" xfId="0" applyNumberFormat="1" applyFont="1" applyFill="1" applyBorder="1" applyAlignment="1">
      <alignment horizontal="center" vertical="center" wrapText="1"/>
    </xf>
    <xf numFmtId="6" fontId="40" fillId="36" borderId="48" xfId="0" applyNumberFormat="1" applyFont="1" applyFill="1" applyBorder="1" applyAlignment="1">
      <alignment horizontal="center" vertical="center" wrapText="1"/>
    </xf>
    <xf numFmtId="6" fontId="40" fillId="11" borderId="111" xfId="0" applyNumberFormat="1" applyFont="1" applyFill="1" applyBorder="1" applyAlignment="1">
      <alignment horizontal="right" vertical="top" wrapText="1"/>
    </xf>
    <xf numFmtId="6" fontId="40" fillId="11" borderId="112" xfId="0" applyNumberFormat="1" applyFont="1" applyFill="1" applyBorder="1" applyAlignment="1">
      <alignment vertical="top" wrapText="1"/>
    </xf>
    <xf numFmtId="6" fontId="40" fillId="11" borderId="81" xfId="0" applyNumberFormat="1" applyFont="1" applyFill="1" applyBorder="1" applyAlignment="1">
      <alignment vertical="top" wrapText="1"/>
    </xf>
    <xf numFmtId="6" fontId="40" fillId="11" borderId="113" xfId="0" applyNumberFormat="1" applyFont="1" applyFill="1" applyBorder="1" applyAlignment="1">
      <alignment horizontal="right" vertical="top" wrapText="1"/>
    </xf>
    <xf numFmtId="0" fontId="40" fillId="11" borderId="112" xfId="0" applyFont="1" applyFill="1" applyBorder="1" applyAlignment="1">
      <alignment horizontal="left" vertical="top" wrapText="1"/>
    </xf>
    <xf numFmtId="6" fontId="40" fillId="11" borderId="112" xfId="0" applyNumberFormat="1" applyFont="1" applyFill="1" applyBorder="1" applyAlignment="1">
      <alignment horizontal="right" vertical="top" wrapText="1"/>
    </xf>
    <xf numFmtId="6" fontId="40" fillId="11" borderId="114" xfId="0" applyNumberFormat="1" applyFont="1" applyFill="1" applyBorder="1" applyAlignment="1">
      <alignment horizontal="right" vertical="top" wrapText="1"/>
    </xf>
    <xf numFmtId="6" fontId="38" fillId="0" borderId="48" xfId="0" applyNumberFormat="1" applyFont="1" applyBorder="1" applyAlignment="1">
      <alignment horizontal="center" vertical="center" wrapText="1"/>
    </xf>
    <xf numFmtId="6" fontId="40" fillId="0" borderId="50" xfId="0" applyNumberFormat="1" applyFont="1" applyBorder="1" applyAlignment="1">
      <alignment horizontal="center" vertical="center" wrapText="1"/>
    </xf>
    <xf numFmtId="6" fontId="38" fillId="36" borderId="50" xfId="0" applyNumberFormat="1" applyFont="1" applyFill="1" applyBorder="1" applyAlignment="1">
      <alignment horizontal="center" vertical="center" wrapText="1"/>
    </xf>
    <xf numFmtId="6" fontId="40" fillId="36" borderId="10" xfId="0" applyNumberFormat="1" applyFont="1" applyFill="1" applyBorder="1" applyAlignment="1">
      <alignment horizontal="center" vertical="center" wrapText="1"/>
    </xf>
    <xf numFmtId="6" fontId="38" fillId="12" borderId="9" xfId="0" applyNumberFormat="1" applyFont="1" applyFill="1" applyBorder="1" applyAlignment="1">
      <alignment horizontal="center" vertical="center" wrapText="1"/>
    </xf>
    <xf numFmtId="6" fontId="40" fillId="11" borderId="76" xfId="0" applyNumberFormat="1" applyFont="1" applyFill="1" applyBorder="1" applyAlignment="1">
      <alignment horizontal="right" vertical="top" wrapText="1"/>
    </xf>
    <xf numFmtId="6" fontId="40" fillId="0" borderId="116" xfId="0" applyNumberFormat="1" applyFont="1" applyBorder="1" applyAlignment="1">
      <alignment horizontal="center" vertical="center" wrapText="1"/>
    </xf>
    <xf numFmtId="6" fontId="40" fillId="0" borderId="117" xfId="0" applyNumberFormat="1" applyFont="1" applyBorder="1" applyAlignment="1">
      <alignment horizontal="center" vertical="center" wrapText="1"/>
    </xf>
    <xf numFmtId="6" fontId="40" fillId="36" borderId="115" xfId="0" applyNumberFormat="1" applyFont="1" applyFill="1" applyBorder="1" applyAlignment="1">
      <alignment horizontal="center" vertical="center" wrapText="1"/>
    </xf>
    <xf numFmtId="6" fontId="40" fillId="27" borderId="116" xfId="0" applyNumberFormat="1" applyFont="1" applyFill="1" applyBorder="1" applyAlignment="1">
      <alignment horizontal="center" vertical="center" wrapText="1"/>
    </xf>
    <xf numFmtId="6" fontId="38" fillId="26" borderId="6" xfId="0" applyNumberFormat="1" applyFont="1" applyFill="1" applyBorder="1" applyAlignment="1">
      <alignment horizontal="center" vertical="center" wrapText="1"/>
    </xf>
    <xf numFmtId="6" fontId="38" fillId="36" borderId="49" xfId="0" applyNumberFormat="1" applyFont="1" applyFill="1" applyBorder="1" applyAlignment="1">
      <alignment horizontal="center" vertical="center" wrapText="1"/>
    </xf>
    <xf numFmtId="6" fontId="40" fillId="11" borderId="77" xfId="0" applyNumberFormat="1" applyFont="1" applyFill="1" applyBorder="1" applyAlignment="1">
      <alignment horizontal="right" vertical="top" wrapText="1"/>
    </xf>
    <xf numFmtId="6" fontId="40" fillId="0" borderId="49" xfId="0" applyNumberFormat="1" applyFont="1" applyBorder="1" applyAlignment="1">
      <alignment horizontal="center" vertical="center" wrapText="1"/>
    </xf>
    <xf numFmtId="6" fontId="38" fillId="0" borderId="49" xfId="0" applyNumberFormat="1" applyFont="1" applyBorder="1" applyAlignment="1">
      <alignment horizontal="center" vertical="center" wrapText="1"/>
    </xf>
    <xf numFmtId="6" fontId="40" fillId="26" borderId="9" xfId="0" applyNumberFormat="1" applyFont="1" applyFill="1" applyBorder="1" applyAlignment="1">
      <alignment horizontal="center" vertical="center" wrapText="1"/>
    </xf>
    <xf numFmtId="6" fontId="38" fillId="26" borderId="11" xfId="0" applyNumberFormat="1" applyFont="1" applyFill="1" applyBorder="1" applyAlignment="1">
      <alignment horizontal="center" vertical="center" wrapText="1"/>
    </xf>
    <xf numFmtId="6" fontId="38" fillId="27" borderId="116" xfId="0" applyNumberFormat="1" applyFont="1" applyFill="1" applyBorder="1" applyAlignment="1">
      <alignment horizontal="center" vertical="center" wrapText="1"/>
    </xf>
    <xf numFmtId="6" fontId="40" fillId="0" borderId="116" xfId="0" applyNumberFormat="1" applyFont="1" applyBorder="1" applyAlignment="1">
      <alignment vertical="center" wrapText="1"/>
    </xf>
    <xf numFmtId="6" fontId="38" fillId="26" borderId="117" xfId="0" applyNumberFormat="1" applyFont="1" applyFill="1" applyBorder="1" applyAlignment="1">
      <alignment horizontal="center" vertical="center" wrapText="1"/>
    </xf>
    <xf numFmtId="6" fontId="38" fillId="26" borderId="116" xfId="0" applyNumberFormat="1" applyFont="1" applyFill="1" applyBorder="1" applyAlignment="1">
      <alignment horizontal="center" vertical="center" wrapText="1"/>
    </xf>
    <xf numFmtId="6" fontId="40" fillId="0" borderId="48" xfId="0" applyNumberFormat="1" applyFont="1" applyBorder="1" applyAlignment="1">
      <alignment horizontal="center" vertical="center" wrapText="1"/>
    </xf>
    <xf numFmtId="6" fontId="38" fillId="0" borderId="116" xfId="0" applyNumberFormat="1" applyFont="1" applyBorder="1" applyAlignment="1">
      <alignment horizontal="center" vertical="center" wrapText="1"/>
    </xf>
    <xf numFmtId="0" fontId="40" fillId="11" borderId="161" xfId="0" applyFont="1" applyFill="1" applyBorder="1" applyAlignment="1">
      <alignment horizontal="left" vertical="top" wrapText="1"/>
    </xf>
    <xf numFmtId="6" fontId="40" fillId="11" borderId="36" xfId="0" applyNumberFormat="1" applyFont="1" applyFill="1" applyBorder="1" applyAlignment="1">
      <alignment horizontal="right" vertical="top" wrapText="1"/>
    </xf>
    <xf numFmtId="6" fontId="40" fillId="26" borderId="45" xfId="0" applyNumberFormat="1" applyFont="1" applyFill="1" applyBorder="1" applyAlignment="1">
      <alignment horizontal="center" vertical="center" wrapText="1"/>
    </xf>
    <xf numFmtId="6" fontId="38" fillId="26" borderId="46" xfId="0" applyNumberFormat="1" applyFont="1" applyFill="1" applyBorder="1" applyAlignment="1">
      <alignment horizontal="center" vertical="center" wrapText="1"/>
    </xf>
    <xf numFmtId="6" fontId="40" fillId="0" borderId="45" xfId="0" applyNumberFormat="1" applyFont="1" applyBorder="1" applyAlignment="1">
      <alignment horizontal="center" vertical="center" wrapText="1"/>
    </xf>
    <xf numFmtId="6" fontId="40" fillId="0" borderId="46" xfId="0" applyNumberFormat="1" applyFont="1" applyBorder="1" applyAlignment="1">
      <alignment horizontal="center" vertical="center" wrapText="1"/>
    </xf>
    <xf numFmtId="6" fontId="40" fillId="0" borderId="6" xfId="0" applyNumberFormat="1" applyFont="1" applyBorder="1" applyAlignment="1">
      <alignment horizontal="center" vertical="center" wrapText="1"/>
    </xf>
    <xf numFmtId="6" fontId="40" fillId="0" borderId="120" xfId="0" applyNumberFormat="1" applyFont="1" applyBorder="1" applyAlignment="1">
      <alignment horizontal="center" vertical="center" wrapText="1"/>
    </xf>
    <xf numFmtId="6" fontId="38" fillId="0" borderId="50" xfId="0" applyNumberFormat="1" applyFont="1" applyBorder="1" applyAlignment="1">
      <alignment horizontal="center" vertical="center" wrapText="1"/>
    </xf>
    <xf numFmtId="6" fontId="38" fillId="0" borderId="18" xfId="0" applyNumberFormat="1" applyFont="1" applyBorder="1" applyAlignment="1">
      <alignment horizontal="center" vertical="center" wrapText="1"/>
    </xf>
    <xf numFmtId="6" fontId="38" fillId="0" borderId="38" xfId="0" applyNumberFormat="1" applyFont="1" applyBorder="1" applyAlignment="1">
      <alignment horizontal="center" vertical="center" wrapText="1"/>
    </xf>
    <xf numFmtId="0" fontId="40" fillId="11" borderId="164" xfId="0" applyFont="1" applyFill="1" applyBorder="1" applyAlignment="1">
      <alignment horizontal="left" vertical="top" wrapText="1"/>
    </xf>
    <xf numFmtId="6" fontId="40" fillId="26" borderId="48" xfId="0" applyNumberFormat="1" applyFont="1" applyFill="1" applyBorder="1" applyAlignment="1">
      <alignment horizontal="center" vertical="center" wrapText="1"/>
    </xf>
    <xf numFmtId="6" fontId="38" fillId="26" borderId="50" xfId="0" applyNumberFormat="1" applyFont="1" applyFill="1" applyBorder="1" applyAlignment="1">
      <alignment horizontal="center" vertical="center" wrapText="1"/>
    </xf>
    <xf numFmtId="6" fontId="40" fillId="36" borderId="116" xfId="0" applyNumberFormat="1" applyFont="1" applyFill="1" applyBorder="1" applyAlignment="1">
      <alignment horizontal="center" vertical="center" wrapText="1"/>
    </xf>
    <xf numFmtId="6" fontId="40" fillId="36" borderId="119" xfId="0" applyNumberFormat="1" applyFont="1" applyFill="1" applyBorder="1" applyAlignment="1">
      <alignment horizontal="center" vertical="center" wrapText="1"/>
    </xf>
    <xf numFmtId="6" fontId="38" fillId="12" borderId="48" xfId="0" applyNumberFormat="1" applyFont="1" applyFill="1" applyBorder="1" applyAlignment="1">
      <alignment horizontal="center" vertical="center" wrapText="1"/>
    </xf>
    <xf numFmtId="6" fontId="38" fillId="12" borderId="50" xfId="0" applyNumberFormat="1" applyFont="1" applyFill="1" applyBorder="1" applyAlignment="1">
      <alignment horizontal="center" vertical="center" wrapText="1"/>
    </xf>
    <xf numFmtId="6" fontId="40" fillId="12" borderId="48" xfId="0" applyNumberFormat="1" applyFont="1" applyFill="1" applyBorder="1" applyAlignment="1">
      <alignment horizontal="center" vertical="center" wrapText="1"/>
    </xf>
    <xf numFmtId="6" fontId="40" fillId="11" borderId="166" xfId="0" applyNumberFormat="1" applyFont="1" applyFill="1" applyBorder="1" applyAlignment="1">
      <alignment horizontal="right" vertical="top" wrapText="1"/>
    </xf>
    <xf numFmtId="6" fontId="40" fillId="11" borderId="157" xfId="0" applyNumberFormat="1" applyFont="1" applyFill="1" applyBorder="1" applyAlignment="1">
      <alignment horizontal="right" vertical="top" wrapText="1"/>
    </xf>
    <xf numFmtId="6" fontId="38" fillId="0" borderId="17" xfId="0" applyNumberFormat="1" applyFont="1" applyBorder="1" applyAlignment="1">
      <alignment horizontal="center" vertical="center" wrapText="1"/>
    </xf>
    <xf numFmtId="6" fontId="38" fillId="36" borderId="116" xfId="0" applyNumberFormat="1" applyFont="1" applyFill="1" applyBorder="1" applyAlignment="1">
      <alignment horizontal="center" vertical="center" wrapText="1"/>
    </xf>
    <xf numFmtId="6" fontId="40" fillId="36" borderId="9" xfId="0" applyNumberFormat="1" applyFont="1" applyFill="1" applyBorder="1" applyAlignment="1">
      <alignment horizontal="center" vertical="center" wrapText="1"/>
    </xf>
    <xf numFmtId="165" fontId="40" fillId="36" borderId="11" xfId="0" applyNumberFormat="1" applyFont="1" applyFill="1" applyBorder="1" applyAlignment="1">
      <alignment horizontal="center" vertical="center" wrapText="1"/>
    </xf>
    <xf numFmtId="6" fontId="38" fillId="21" borderId="142" xfId="0" applyNumberFormat="1" applyFont="1" applyFill="1" applyBorder="1" applyAlignment="1">
      <alignment horizontal="center" vertical="center" wrapText="1"/>
    </xf>
    <xf numFmtId="165" fontId="38" fillId="21" borderId="142" xfId="0" applyNumberFormat="1" applyFont="1" applyFill="1" applyBorder="1" applyAlignment="1">
      <alignment horizontal="center" vertical="center" wrapText="1"/>
    </xf>
    <xf numFmtId="6" fontId="40" fillId="11" borderId="160" xfId="0" applyNumberFormat="1" applyFont="1" applyFill="1" applyBorder="1" applyAlignment="1">
      <alignment horizontal="right" vertical="top" wrapText="1"/>
    </xf>
    <xf numFmtId="6" fontId="38" fillId="25" borderId="116" xfId="0" applyNumberFormat="1" applyFont="1" applyFill="1" applyBorder="1" applyAlignment="1">
      <alignment vertical="center" wrapText="1"/>
    </xf>
    <xf numFmtId="6" fontId="40" fillId="0" borderId="116" xfId="0" applyNumberFormat="1" applyFont="1" applyBorder="1" applyAlignment="1">
      <alignment vertical="top" wrapText="1"/>
    </xf>
    <xf numFmtId="6" fontId="40" fillId="0" borderId="117" xfId="0" applyNumberFormat="1" applyFont="1" applyBorder="1" applyAlignment="1">
      <alignment vertical="top" wrapText="1"/>
    </xf>
    <xf numFmtId="0" fontId="40" fillId="11" borderId="8" xfId="0" applyFont="1" applyFill="1" applyBorder="1" applyAlignment="1">
      <alignment vertical="top" wrapText="1"/>
    </xf>
    <xf numFmtId="0" fontId="40" fillId="11" borderId="8" xfId="0" applyFont="1" applyFill="1" applyBorder="1" applyAlignment="1">
      <alignment horizontal="left" vertical="top" wrapText="1"/>
    </xf>
    <xf numFmtId="6" fontId="40" fillId="11" borderId="8" xfId="0" applyNumberFormat="1" applyFont="1" applyFill="1" applyBorder="1" applyAlignment="1">
      <alignment horizontal="right" vertical="top" wrapText="1"/>
    </xf>
    <xf numFmtId="6" fontId="40" fillId="11" borderId="8" xfId="0" applyNumberFormat="1" applyFont="1" applyFill="1" applyBorder="1" applyAlignment="1">
      <alignment vertical="top" wrapText="1"/>
    </xf>
    <xf numFmtId="6" fontId="40" fillId="11" borderId="11" xfId="0" applyNumberFormat="1" applyFont="1" applyFill="1" applyBorder="1" applyAlignment="1">
      <alignment vertical="top" wrapText="1"/>
    </xf>
    <xf numFmtId="0" fontId="40" fillId="11" borderId="23" xfId="0" applyFont="1" applyFill="1" applyBorder="1" applyAlignment="1">
      <alignment horizontal="left" vertical="top" wrapText="1"/>
    </xf>
    <xf numFmtId="6" fontId="40" fillId="12" borderId="49" xfId="0" applyNumberFormat="1" applyFont="1" applyFill="1" applyBorder="1" applyAlignment="1">
      <alignment vertical="center" wrapText="1"/>
    </xf>
    <xf numFmtId="6" fontId="40" fillId="12" borderId="115" xfId="0" applyNumberFormat="1" applyFont="1" applyFill="1" applyBorder="1" applyAlignment="1">
      <alignment vertical="center" wrapText="1"/>
    </xf>
    <xf numFmtId="6" fontId="38" fillId="12" borderId="115" xfId="0" applyNumberFormat="1" applyFont="1" applyFill="1" applyBorder="1" applyAlignment="1">
      <alignment horizontal="center" vertical="center" wrapText="1"/>
    </xf>
    <xf numFmtId="6" fontId="40" fillId="11" borderId="50" xfId="0" applyNumberFormat="1" applyFont="1" applyFill="1" applyBorder="1" applyAlignment="1">
      <alignment horizontal="right" vertical="top" wrapText="1"/>
    </xf>
    <xf numFmtId="6" fontId="40" fillId="12" borderId="49" xfId="0" applyNumberFormat="1" applyFont="1" applyFill="1" applyBorder="1" applyAlignment="1">
      <alignment horizontal="center" vertical="center" wrapText="1"/>
    </xf>
    <xf numFmtId="6" fontId="38" fillId="12" borderId="49" xfId="0" applyNumberFormat="1" applyFont="1" applyFill="1" applyBorder="1" applyAlignment="1">
      <alignment horizontal="center" vertical="center" wrapText="1"/>
    </xf>
    <xf numFmtId="6" fontId="40" fillId="36" borderId="8" xfId="0" applyNumberFormat="1" applyFont="1" applyFill="1" applyBorder="1" applyAlignment="1">
      <alignment horizontal="center" vertical="center" wrapText="1"/>
    </xf>
    <xf numFmtId="6" fontId="38" fillId="36" borderId="5" xfId="0" applyNumberFormat="1" applyFont="1" applyFill="1" applyBorder="1" applyAlignment="1">
      <alignment horizontal="center" vertical="center" wrapText="1"/>
    </xf>
    <xf numFmtId="10" fontId="0" fillId="0" borderId="1" xfId="0" applyNumberFormat="1" applyBorder="1"/>
    <xf numFmtId="6" fontId="40" fillId="0" borderId="16" xfId="0" applyNumberFormat="1" applyFont="1" applyBorder="1" applyAlignment="1">
      <alignment vertical="top" wrapText="1"/>
    </xf>
    <xf numFmtId="6" fontId="40" fillId="26" borderId="49" xfId="0" applyNumberFormat="1" applyFont="1" applyFill="1" applyBorder="1" applyAlignment="1">
      <alignment vertical="center" wrapText="1"/>
    </xf>
    <xf numFmtId="6" fontId="40" fillId="26" borderId="115" xfId="0" applyNumberFormat="1" applyFont="1" applyFill="1" applyBorder="1" applyAlignment="1">
      <alignment vertical="center" wrapText="1"/>
    </xf>
    <xf numFmtId="6" fontId="38" fillId="26" borderId="49" xfId="0" applyNumberFormat="1" applyFont="1" applyFill="1" applyBorder="1" applyAlignment="1">
      <alignment horizontal="center" vertical="center" wrapText="1"/>
    </xf>
    <xf numFmtId="0" fontId="38" fillId="0" borderId="49" xfId="0" applyFont="1" applyBorder="1" applyAlignment="1">
      <alignment vertical="top" wrapText="1"/>
    </xf>
    <xf numFmtId="0" fontId="38" fillId="0" borderId="50" xfId="0" applyFont="1" applyBorder="1" applyAlignment="1">
      <alignment vertical="top" wrapText="1"/>
    </xf>
    <xf numFmtId="0" fontId="38" fillId="0" borderId="48" xfId="0" applyFont="1" applyBorder="1" applyAlignment="1">
      <alignment vertical="top" wrapText="1"/>
    </xf>
    <xf numFmtId="0" fontId="38" fillId="0" borderId="115" xfId="0" applyFont="1" applyBorder="1" applyAlignment="1">
      <alignment vertical="top" wrapText="1"/>
    </xf>
    <xf numFmtId="0" fontId="0" fillId="0" borderId="1" xfId="0" applyBorder="1" applyAlignment="1">
      <alignment horizontal="right"/>
    </xf>
    <xf numFmtId="0" fontId="0" fillId="24" borderId="1" xfId="0" applyFill="1" applyBorder="1"/>
    <xf numFmtId="165" fontId="0" fillId="24" borderId="1" xfId="0" applyNumberFormat="1" applyFill="1" applyBorder="1"/>
    <xf numFmtId="10" fontId="0" fillId="24" borderId="1" xfId="0" applyNumberFormat="1" applyFill="1" applyBorder="1"/>
    <xf numFmtId="0" fontId="0" fillId="24" borderId="1" xfId="0" applyFill="1" applyBorder="1" applyAlignment="1">
      <alignment horizontal="right"/>
    </xf>
    <xf numFmtId="6" fontId="40" fillId="0" borderId="5" xfId="0" applyNumberFormat="1" applyFont="1" applyBorder="1" applyAlignment="1">
      <alignment vertical="center" wrapText="1"/>
    </xf>
    <xf numFmtId="0" fontId="0" fillId="9" borderId="1" xfId="0" applyFill="1" applyBorder="1"/>
    <xf numFmtId="0" fontId="0" fillId="37" borderId="1" xfId="0" applyFill="1" applyBorder="1"/>
    <xf numFmtId="0" fontId="0" fillId="19" borderId="1" xfId="0" applyFill="1" applyBorder="1"/>
    <xf numFmtId="0" fontId="0" fillId="20" borderId="1" xfId="0" applyFill="1" applyBorder="1"/>
    <xf numFmtId="6" fontId="40" fillId="12" borderId="53" xfId="0" applyNumberFormat="1" applyFont="1" applyFill="1" applyBorder="1" applyAlignment="1">
      <alignment horizontal="center" vertical="center" wrapText="1"/>
    </xf>
    <xf numFmtId="6" fontId="38" fillId="12" borderId="97" xfId="0" applyNumberFormat="1" applyFont="1" applyFill="1" applyBorder="1" applyAlignment="1">
      <alignment horizontal="center" vertical="center" wrapText="1"/>
    </xf>
    <xf numFmtId="6" fontId="40" fillId="36" borderId="53" xfId="0" applyNumberFormat="1" applyFont="1" applyFill="1" applyBorder="1" applyAlignment="1">
      <alignment horizontal="center" vertical="center" wrapText="1"/>
    </xf>
    <xf numFmtId="6" fontId="40" fillId="36" borderId="167" xfId="0" applyNumberFormat="1" applyFont="1" applyFill="1" applyBorder="1" applyAlignment="1">
      <alignment horizontal="center" vertical="center" wrapText="1"/>
    </xf>
    <xf numFmtId="6" fontId="40" fillId="12" borderId="9" xfId="0" applyNumberFormat="1" applyFont="1" applyFill="1" applyBorder="1" applyAlignment="1">
      <alignment horizontal="center" vertical="center" wrapText="1"/>
    </xf>
    <xf numFmtId="6" fontId="38" fillId="26" borderId="5" xfId="0" applyNumberFormat="1" applyFont="1" applyFill="1" applyBorder="1" applyAlignment="1">
      <alignment horizontal="center" vertical="center" wrapText="1"/>
    </xf>
    <xf numFmtId="6" fontId="38" fillId="0" borderId="6" xfId="0" applyNumberFormat="1" applyFont="1" applyBorder="1" applyAlignment="1">
      <alignment horizontal="center" vertical="center" wrapText="1"/>
    </xf>
    <xf numFmtId="6" fontId="40" fillId="36" borderId="16" xfId="0" applyNumberFormat="1" applyFont="1" applyFill="1" applyBorder="1" applyAlignment="1">
      <alignment horizontal="center" vertical="center" wrapText="1"/>
    </xf>
    <xf numFmtId="6" fontId="40" fillId="36" borderId="5" xfId="0" applyNumberFormat="1" applyFont="1" applyFill="1" applyBorder="1" applyAlignment="1">
      <alignment vertical="center" wrapText="1"/>
    </xf>
    <xf numFmtId="6" fontId="40" fillId="36" borderId="116" xfId="0" applyNumberFormat="1" applyFont="1" applyFill="1" applyBorder="1" applyAlignment="1">
      <alignment vertical="center" wrapText="1"/>
    </xf>
    <xf numFmtId="6" fontId="38" fillId="36" borderId="6" xfId="0" applyNumberFormat="1" applyFont="1" applyFill="1" applyBorder="1" applyAlignment="1">
      <alignment horizontal="center" vertical="center" wrapText="1"/>
    </xf>
    <xf numFmtId="6" fontId="40" fillId="36" borderId="2" xfId="0" applyNumberFormat="1" applyFont="1" applyFill="1" applyBorder="1" applyAlignment="1">
      <alignment horizontal="center" vertical="center" wrapText="1"/>
    </xf>
    <xf numFmtId="6" fontId="38" fillId="36" borderId="18" xfId="0" applyNumberFormat="1" applyFont="1" applyFill="1" applyBorder="1" applyAlignment="1">
      <alignment horizontal="center" vertical="center" wrapText="1"/>
    </xf>
    <xf numFmtId="6" fontId="38" fillId="36" borderId="11" xfId="0" applyNumberFormat="1" applyFont="1" applyFill="1" applyBorder="1" applyAlignment="1">
      <alignment horizontal="center" vertical="center" wrapText="1"/>
    </xf>
    <xf numFmtId="6" fontId="40" fillId="36" borderId="6" xfId="0" applyNumberFormat="1" applyFont="1" applyFill="1" applyBorder="1" applyAlignment="1">
      <alignment horizontal="center" vertical="center" wrapText="1"/>
    </xf>
    <xf numFmtId="6" fontId="40" fillId="36" borderId="18" xfId="0" applyNumberFormat="1" applyFont="1" applyFill="1" applyBorder="1" applyAlignment="1">
      <alignment horizontal="center" vertical="center" wrapText="1"/>
    </xf>
    <xf numFmtId="6" fontId="40" fillId="36" borderId="176" xfId="0" applyNumberFormat="1" applyFont="1" applyFill="1" applyBorder="1" applyAlignment="1">
      <alignment horizontal="center" vertical="center" wrapText="1"/>
    </xf>
    <xf numFmtId="6" fontId="40" fillId="36" borderId="177" xfId="0" applyNumberFormat="1" applyFont="1" applyFill="1" applyBorder="1" applyAlignment="1">
      <alignment horizontal="center" vertical="center" wrapText="1"/>
    </xf>
    <xf numFmtId="6" fontId="40" fillId="36" borderId="178" xfId="0" applyNumberFormat="1" applyFont="1" applyFill="1" applyBorder="1" applyAlignment="1">
      <alignment horizontal="center" vertical="center" wrapText="1"/>
    </xf>
    <xf numFmtId="6" fontId="40" fillId="36" borderId="147" xfId="0" applyNumberFormat="1" applyFont="1" applyFill="1" applyBorder="1" applyAlignment="1">
      <alignment horizontal="center" vertical="center" wrapText="1"/>
    </xf>
    <xf numFmtId="6" fontId="38" fillId="36" borderId="17" xfId="0" applyNumberFormat="1" applyFont="1" applyFill="1" applyBorder="1" applyAlignment="1">
      <alignment horizontal="center" vertical="center" wrapText="1"/>
    </xf>
    <xf numFmtId="165" fontId="38" fillId="36" borderId="11" xfId="0" applyNumberFormat="1" applyFont="1" applyFill="1" applyBorder="1" applyAlignment="1">
      <alignment horizontal="center" vertical="center" wrapText="1"/>
    </xf>
    <xf numFmtId="165" fontId="38" fillId="36" borderId="50" xfId="0" applyNumberFormat="1" applyFont="1" applyFill="1" applyBorder="1" applyAlignment="1">
      <alignment horizontal="center" vertical="center" wrapText="1"/>
    </xf>
    <xf numFmtId="165" fontId="40" fillId="36" borderId="50" xfId="0" applyNumberFormat="1" applyFont="1" applyFill="1" applyBorder="1" applyAlignment="1">
      <alignment horizontal="center" vertical="center" wrapText="1"/>
    </xf>
    <xf numFmtId="6" fontId="40" fillId="36" borderId="45" xfId="0" applyNumberFormat="1" applyFont="1" applyFill="1" applyBorder="1" applyAlignment="1">
      <alignment horizontal="center" vertical="center" wrapText="1"/>
    </xf>
    <xf numFmtId="6" fontId="40" fillId="36" borderId="47" xfId="0" applyNumberFormat="1" applyFont="1" applyFill="1" applyBorder="1" applyAlignment="1">
      <alignment horizontal="center" vertical="center" wrapText="1"/>
    </xf>
    <xf numFmtId="6" fontId="40" fillId="36" borderId="46" xfId="0" applyNumberFormat="1" applyFont="1" applyFill="1" applyBorder="1" applyAlignment="1">
      <alignment horizontal="center" vertical="center" wrapText="1"/>
    </xf>
    <xf numFmtId="6" fontId="40" fillId="36" borderId="11" xfId="0" applyNumberFormat="1" applyFont="1" applyFill="1" applyBorder="1" applyAlignment="1">
      <alignment horizontal="center" vertical="center" wrapText="1"/>
    </xf>
    <xf numFmtId="6" fontId="40" fillId="36" borderId="117" xfId="0" applyNumberFormat="1" applyFont="1" applyFill="1" applyBorder="1" applyAlignment="1">
      <alignment horizontal="center" vertical="center" wrapText="1"/>
    </xf>
    <xf numFmtId="6" fontId="40" fillId="36" borderId="17" xfId="0" applyNumberFormat="1" applyFont="1" applyFill="1" applyBorder="1" applyAlignment="1">
      <alignment horizontal="center" vertical="center" wrapText="1"/>
    </xf>
    <xf numFmtId="6" fontId="40" fillId="36" borderId="38" xfId="0" applyNumberFormat="1" applyFont="1" applyFill="1" applyBorder="1" applyAlignment="1">
      <alignment horizontal="center" vertical="center" wrapText="1"/>
    </xf>
    <xf numFmtId="6" fontId="38" fillId="36" borderId="9" xfId="0" applyNumberFormat="1" applyFont="1" applyFill="1" applyBorder="1" applyAlignment="1">
      <alignment horizontal="center" vertical="center" wrapText="1"/>
    </xf>
    <xf numFmtId="0" fontId="49" fillId="0" borderId="1" xfId="0" applyFont="1" applyBorder="1"/>
    <xf numFmtId="165" fontId="49" fillId="0" borderId="1" xfId="0" applyNumberFormat="1" applyFont="1" applyBorder="1"/>
    <xf numFmtId="0" fontId="49" fillId="9" borderId="1" xfId="0" applyFont="1" applyFill="1" applyBorder="1"/>
    <xf numFmtId="10" fontId="49" fillId="0" borderId="1" xfId="0" applyNumberFormat="1" applyFont="1" applyBorder="1"/>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0" fillId="18" borderId="1" xfId="0" applyFill="1" applyBorder="1"/>
    <xf numFmtId="6" fontId="40" fillId="12" borderId="3" xfId="0" applyNumberFormat="1" applyFont="1" applyFill="1" applyBorder="1" applyAlignment="1">
      <alignment horizontal="center" vertical="center" wrapText="1"/>
    </xf>
    <xf numFmtId="6" fontId="38" fillId="36" borderId="16" xfId="0" applyNumberFormat="1" applyFont="1" applyFill="1" applyBorder="1" applyAlignment="1">
      <alignment horizontal="center" vertical="center" wrapText="1"/>
    </xf>
    <xf numFmtId="165" fontId="7" fillId="0" borderId="1" xfId="0" applyNumberFormat="1" applyFont="1" applyBorder="1"/>
    <xf numFmtId="0" fontId="40" fillId="36" borderId="53" xfId="0" applyFont="1" applyFill="1" applyBorder="1" applyAlignment="1">
      <alignment horizontal="center" vertical="center" wrapText="1"/>
    </xf>
    <xf numFmtId="0" fontId="40" fillId="36" borderId="3" xfId="0" applyFont="1" applyFill="1" applyBorder="1" applyAlignment="1">
      <alignment horizontal="center" vertical="center" wrapText="1"/>
    </xf>
    <xf numFmtId="165" fontId="7" fillId="24" borderId="1" xfId="0" applyNumberFormat="1" applyFont="1" applyFill="1" applyBorder="1"/>
    <xf numFmtId="165" fontId="0" fillId="0" borderId="0" xfId="0" applyNumberFormat="1"/>
    <xf numFmtId="6" fontId="40" fillId="0" borderId="46" xfId="0" applyNumberFormat="1" applyFont="1" applyBorder="1" applyAlignment="1">
      <alignment vertical="top" wrapText="1"/>
    </xf>
    <xf numFmtId="165" fontId="38" fillId="36" borderId="18" xfId="0" applyNumberFormat="1" applyFont="1" applyFill="1" applyBorder="1" applyAlignment="1">
      <alignment horizontal="center" vertical="center" wrapText="1"/>
    </xf>
    <xf numFmtId="0" fontId="40" fillId="36" borderId="9" xfId="0" applyFont="1" applyFill="1" applyBorder="1" applyAlignment="1">
      <alignment horizontal="center" vertical="center" wrapText="1"/>
    </xf>
    <xf numFmtId="0" fontId="40" fillId="36" borderId="45" xfId="0" applyFont="1" applyFill="1" applyBorder="1" applyAlignment="1">
      <alignment horizontal="center" vertical="center" wrapText="1"/>
    </xf>
    <xf numFmtId="0" fontId="40" fillId="0" borderId="10" xfId="0" applyFont="1" applyBorder="1" applyAlignment="1">
      <alignment horizontal="center" vertical="center" wrapText="1"/>
    </xf>
    <xf numFmtId="0" fontId="40" fillId="36" borderId="2" xfId="0" applyFont="1" applyFill="1" applyBorder="1" applyAlignment="1">
      <alignment horizontal="center" vertical="center" wrapText="1"/>
    </xf>
    <xf numFmtId="6" fontId="38" fillId="21" borderId="155" xfId="0" applyNumberFormat="1" applyFont="1" applyFill="1" applyBorder="1" applyAlignment="1">
      <alignment horizontal="center" vertical="center" wrapText="1"/>
    </xf>
    <xf numFmtId="0" fontId="40" fillId="21" borderId="155" xfId="0" applyFont="1" applyFill="1" applyBorder="1" applyAlignment="1">
      <alignment horizontal="left" vertical="top" wrapText="1"/>
    </xf>
    <xf numFmtId="6" fontId="40" fillId="21" borderId="155" xfId="0" applyNumberFormat="1" applyFont="1" applyFill="1" applyBorder="1" applyAlignment="1">
      <alignment horizontal="left" wrapText="1"/>
    </xf>
    <xf numFmtId="167" fontId="0" fillId="0" borderId="1" xfId="0" applyNumberFormat="1" applyBorder="1"/>
    <xf numFmtId="165" fontId="41" fillId="0" borderId="17" xfId="0" applyNumberFormat="1" applyFont="1" applyBorder="1" applyAlignment="1">
      <alignment horizontal="center" vertical="center" wrapText="1"/>
    </xf>
    <xf numFmtId="165" fontId="41" fillId="0" borderId="18" xfId="0" applyNumberFormat="1" applyFont="1" applyBorder="1" applyAlignment="1">
      <alignment horizontal="center" vertical="center" wrapText="1"/>
    </xf>
    <xf numFmtId="164" fontId="41" fillId="0" borderId="17" xfId="0" applyNumberFormat="1" applyFont="1" applyBorder="1" applyAlignment="1">
      <alignment horizontal="center" vertical="center" wrapText="1"/>
    </xf>
    <xf numFmtId="0" fontId="38" fillId="0" borderId="18" xfId="0" applyFont="1" applyBorder="1" applyAlignment="1">
      <alignment horizontal="left" vertical="center" wrapText="1"/>
    </xf>
    <xf numFmtId="6" fontId="40" fillId="36" borderId="230" xfId="0" applyNumberFormat="1" applyFont="1" applyFill="1" applyBorder="1" applyAlignment="1">
      <alignment horizontal="center" vertical="center" wrapText="1"/>
    </xf>
    <xf numFmtId="168" fontId="0" fillId="0" borderId="0" xfId="0" applyNumberFormat="1"/>
    <xf numFmtId="171" fontId="0" fillId="0" borderId="0" xfId="0" applyNumberFormat="1"/>
    <xf numFmtId="6" fontId="38" fillId="21" borderId="16" xfId="0" applyNumberFormat="1" applyFont="1" applyFill="1" applyBorder="1" applyAlignment="1">
      <alignment horizontal="center" vertical="center" wrapText="1"/>
    </xf>
    <xf numFmtId="0" fontId="40" fillId="0" borderId="11" xfId="0" applyFont="1" applyBorder="1" applyAlignment="1">
      <alignment horizontal="center" vertical="center" wrapText="1"/>
    </xf>
    <xf numFmtId="0" fontId="40" fillId="0" borderId="18" xfId="0" applyFont="1" applyBorder="1" applyAlignment="1">
      <alignment horizontal="center" vertical="center" wrapText="1"/>
    </xf>
    <xf numFmtId="6" fontId="40" fillId="0" borderId="0" xfId="0" applyNumberFormat="1" applyFont="1" applyAlignment="1">
      <alignment horizontal="left" vertical="top" wrapText="1"/>
    </xf>
    <xf numFmtId="0" fontId="40" fillId="27" borderId="8" xfId="0" applyFont="1" applyFill="1" applyBorder="1" applyAlignment="1">
      <alignment horizontal="left" vertical="top" wrapText="1"/>
    </xf>
    <xf numFmtId="0" fontId="40" fillId="0" borderId="3"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141" xfId="0" applyFont="1" applyBorder="1" applyAlignment="1">
      <alignment horizontal="left" vertical="top" wrapText="1"/>
    </xf>
    <xf numFmtId="0" fontId="40" fillId="0" borderId="142" xfId="0" applyFont="1" applyBorder="1" applyAlignment="1">
      <alignment horizontal="left" vertical="top" wrapText="1"/>
    </xf>
    <xf numFmtId="0" fontId="40" fillId="0" borderId="116" xfId="0" applyFont="1" applyBorder="1" applyAlignment="1">
      <alignment horizontal="center" vertical="center" wrapText="1"/>
    </xf>
    <xf numFmtId="0" fontId="40" fillId="0" borderId="0" xfId="0" applyFont="1" applyAlignment="1">
      <alignment horizontal="center" vertical="center" wrapText="1"/>
    </xf>
    <xf numFmtId="0" fontId="52" fillId="0" borderId="0" xfId="0" applyFont="1" applyAlignment="1">
      <alignment horizontal="center" vertical="center" wrapText="1"/>
    </xf>
    <xf numFmtId="0" fontId="51" fillId="0" borderId="6" xfId="0" applyFont="1" applyBorder="1" applyAlignment="1">
      <alignment vertical="top" wrapText="1"/>
    </xf>
    <xf numFmtId="0" fontId="51" fillId="0" borderId="0" xfId="0" applyFont="1" applyAlignment="1">
      <alignment vertical="top" wrapText="1"/>
    </xf>
    <xf numFmtId="0" fontId="40" fillId="0" borderId="0" xfId="0" applyFont="1" applyAlignment="1">
      <alignment vertical="top" wrapText="1"/>
    </xf>
    <xf numFmtId="0" fontId="52" fillId="0" borderId="179" xfId="0" applyFont="1" applyBorder="1" applyAlignment="1">
      <alignment horizontal="center" vertical="center" wrapText="1"/>
    </xf>
    <xf numFmtId="0" fontId="52" fillId="0" borderId="180" xfId="0" applyFont="1" applyBorder="1" applyAlignment="1">
      <alignment horizontal="center" vertical="center" wrapText="1"/>
    </xf>
    <xf numFmtId="0" fontId="52" fillId="0" borderId="112" xfId="0" applyFont="1" applyBorder="1" applyAlignment="1">
      <alignment horizontal="center" vertical="center" wrapText="1"/>
    </xf>
    <xf numFmtId="0" fontId="52" fillId="0" borderId="181" xfId="0" applyFont="1" applyBorder="1" applyAlignment="1">
      <alignment horizontal="center" vertical="center" wrapText="1"/>
    </xf>
    <xf numFmtId="0" fontId="52" fillId="10" borderId="179" xfId="0" applyFont="1" applyFill="1" applyBorder="1" applyAlignment="1">
      <alignment horizontal="center" vertical="center" wrapText="1"/>
    </xf>
    <xf numFmtId="0" fontId="40" fillId="0" borderId="193" xfId="0" applyFont="1" applyBorder="1" applyAlignment="1">
      <alignment horizontal="center" vertical="center" wrapText="1"/>
    </xf>
    <xf numFmtId="0" fontId="38" fillId="27" borderId="71" xfId="0" applyFont="1" applyFill="1" applyBorder="1" applyAlignment="1">
      <alignment vertical="center" wrapText="1"/>
    </xf>
    <xf numFmtId="0" fontId="52" fillId="0" borderId="137" xfId="0" applyFont="1" applyBorder="1" applyAlignment="1">
      <alignment horizontal="center" vertical="center" wrapText="1"/>
    </xf>
    <xf numFmtId="0" fontId="52" fillId="0" borderId="138" xfId="0" applyFont="1" applyBorder="1" applyAlignment="1">
      <alignment horizontal="center" vertical="center" wrapText="1"/>
    </xf>
    <xf numFmtId="0" fontId="38" fillId="27" borderId="83" xfId="0" applyFont="1" applyFill="1" applyBorder="1" applyAlignment="1">
      <alignment vertical="center" wrapText="1"/>
    </xf>
    <xf numFmtId="0" fontId="38" fillId="36" borderId="73" xfId="0" applyFont="1" applyFill="1" applyBorder="1" applyAlignment="1">
      <alignment horizontal="center" vertical="center" wrapText="1"/>
    </xf>
    <xf numFmtId="0" fontId="38" fillId="36" borderId="71" xfId="0" applyFont="1" applyFill="1" applyBorder="1" applyAlignment="1">
      <alignment horizontal="center" vertical="center" wrapText="1"/>
    </xf>
    <xf numFmtId="0" fontId="38" fillId="36" borderId="84" xfId="0" applyFont="1" applyFill="1" applyBorder="1" applyAlignment="1">
      <alignment horizontal="center" vertical="center" wrapText="1"/>
    </xf>
    <xf numFmtId="0" fontId="38" fillId="36" borderId="85" xfId="0" applyFont="1" applyFill="1" applyBorder="1" applyAlignment="1">
      <alignment horizontal="center" vertical="center" wrapText="1"/>
    </xf>
    <xf numFmtId="165" fontId="54" fillId="0" borderId="0" xfId="0" applyNumberFormat="1" applyFont="1" applyAlignment="1">
      <alignment horizontal="center" vertical="center" wrapText="1"/>
    </xf>
    <xf numFmtId="0" fontId="38" fillId="29" borderId="0" xfId="0" applyFont="1" applyFill="1" applyAlignment="1">
      <alignment horizontal="center" vertical="center" wrapText="1"/>
    </xf>
    <xf numFmtId="0" fontId="38" fillId="29" borderId="3" xfId="0" applyFont="1" applyFill="1" applyBorder="1" applyAlignment="1">
      <alignment horizontal="center" vertical="center" wrapText="1"/>
    </xf>
    <xf numFmtId="0" fontId="38" fillId="0" borderId="193" xfId="0" applyFont="1" applyBorder="1" applyAlignment="1">
      <alignment horizontal="center" vertical="center" wrapText="1"/>
    </xf>
    <xf numFmtId="0" fontId="55" fillId="27" borderId="8" xfId="0" applyFont="1" applyFill="1" applyBorder="1" applyAlignment="1">
      <alignment horizontal="center" vertical="center" wrapText="1"/>
    </xf>
    <xf numFmtId="0" fontId="54" fillId="0" borderId="137" xfId="0" applyFont="1" applyBorder="1" applyAlignment="1">
      <alignment horizontal="center" vertical="center" wrapText="1"/>
    </xf>
    <xf numFmtId="0" fontId="54" fillId="0" borderId="138" xfId="0" applyFont="1" applyBorder="1" applyAlignment="1">
      <alignment horizontal="center" vertical="center" wrapText="1"/>
    </xf>
    <xf numFmtId="0" fontId="55" fillId="27" borderId="46" xfId="0" applyFont="1" applyFill="1" applyBorder="1" applyAlignment="1">
      <alignment horizontal="center" vertical="center" wrapText="1"/>
    </xf>
    <xf numFmtId="3" fontId="38" fillId="36" borderId="18" xfId="0" applyNumberFormat="1" applyFont="1" applyFill="1" applyBorder="1" applyAlignment="1">
      <alignment horizontal="center" vertical="center" wrapText="1"/>
    </xf>
    <xf numFmtId="3" fontId="38" fillId="36" borderId="8" xfId="0" applyNumberFormat="1" applyFont="1" applyFill="1" applyBorder="1" applyAlignment="1">
      <alignment horizontal="center" vertical="center" wrapText="1"/>
    </xf>
    <xf numFmtId="0" fontId="38" fillId="36" borderId="8" xfId="0" applyFont="1" applyFill="1" applyBorder="1" applyAlignment="1">
      <alignment horizontal="center" vertical="center" wrapText="1"/>
    </xf>
    <xf numFmtId="3" fontId="38" fillId="36" borderId="11" xfId="0" applyNumberFormat="1" applyFont="1" applyFill="1" applyBorder="1" applyAlignment="1">
      <alignment horizontal="center" vertical="center" wrapText="1"/>
    </xf>
    <xf numFmtId="0" fontId="38" fillId="36" borderId="50" xfId="0" applyFont="1" applyFill="1" applyBorder="1" applyAlignment="1">
      <alignment horizontal="center" vertical="center" wrapText="1"/>
    </xf>
    <xf numFmtId="0" fontId="38" fillId="36" borderId="11" xfId="0" applyFont="1" applyFill="1" applyBorder="1" applyAlignment="1">
      <alignment horizontal="center" vertical="center" wrapText="1"/>
    </xf>
    <xf numFmtId="3" fontId="38" fillId="36" borderId="50" xfId="0" applyNumberFormat="1" applyFont="1" applyFill="1" applyBorder="1" applyAlignment="1">
      <alignment horizontal="center" vertical="center" wrapText="1"/>
    </xf>
    <xf numFmtId="2" fontId="40" fillId="29" borderId="0" xfId="0" applyNumberFormat="1" applyFont="1" applyFill="1" applyAlignment="1">
      <alignment horizontal="left" vertical="top" wrapText="1"/>
    </xf>
    <xf numFmtId="0" fontId="40" fillId="29" borderId="8" xfId="0" applyFont="1" applyFill="1" applyBorder="1" applyAlignment="1">
      <alignment horizontal="left" vertical="top" wrapText="1"/>
    </xf>
    <xf numFmtId="0" fontId="40" fillId="0" borderId="0" xfId="0" applyFont="1" applyAlignment="1">
      <alignment horizontal="left" vertical="top" wrapText="1"/>
    </xf>
    <xf numFmtId="0" fontId="40" fillId="0" borderId="192" xfId="0" applyFont="1" applyBorder="1" applyAlignment="1">
      <alignment horizontal="center" vertical="center" wrapText="1"/>
    </xf>
    <xf numFmtId="0" fontId="38" fillId="11" borderId="62" xfId="0" applyFont="1" applyFill="1" applyBorder="1" applyAlignment="1">
      <alignment horizontal="left" vertical="top"/>
    </xf>
    <xf numFmtId="0" fontId="38" fillId="11" borderId="1" xfId="0" applyFont="1" applyFill="1" applyBorder="1" applyAlignment="1">
      <alignment vertical="top" wrapText="1"/>
    </xf>
    <xf numFmtId="0" fontId="40" fillId="11" borderId="141" xfId="0" applyFont="1" applyFill="1" applyBorder="1" applyAlignment="1">
      <alignment horizontal="left" vertical="top" wrapText="1"/>
    </xf>
    <xf numFmtId="0" fontId="52" fillId="0" borderId="199" xfId="0" applyFont="1" applyBorder="1" applyAlignment="1">
      <alignment horizontal="center" vertical="center" wrapText="1"/>
    </xf>
    <xf numFmtId="0" fontId="52" fillId="0" borderId="200" xfId="0" applyFont="1" applyBorder="1" applyAlignment="1">
      <alignment horizontal="center" vertical="center" wrapText="1"/>
    </xf>
    <xf numFmtId="0" fontId="38" fillId="11" borderId="131" xfId="0" applyFont="1" applyFill="1" applyBorder="1" applyAlignment="1">
      <alignment horizontal="left" vertical="top"/>
    </xf>
    <xf numFmtId="0" fontId="38" fillId="11" borderId="36" xfId="0" applyFont="1" applyFill="1" applyBorder="1" applyAlignment="1">
      <alignment vertical="top" wrapText="1"/>
    </xf>
    <xf numFmtId="0" fontId="38" fillId="11" borderId="7" xfId="0" applyFont="1" applyFill="1" applyBorder="1" applyAlignment="1">
      <alignment horizontal="center" vertical="center" wrapText="1"/>
    </xf>
    <xf numFmtId="0" fontId="38" fillId="11" borderId="1"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1" borderId="62" xfId="0" applyFont="1" applyFill="1" applyBorder="1" applyAlignment="1">
      <alignment horizontal="center" vertical="center" wrapText="1"/>
    </xf>
    <xf numFmtId="0" fontId="40" fillId="29" borderId="16" xfId="0" applyFont="1" applyFill="1" applyBorder="1" applyAlignment="1">
      <alignment vertical="top" wrapText="1"/>
    </xf>
    <xf numFmtId="0" fontId="40" fillId="29" borderId="1" xfId="0" applyFont="1" applyFill="1" applyBorder="1" applyAlignment="1">
      <alignment vertical="top" wrapText="1"/>
    </xf>
    <xf numFmtId="0" fontId="40" fillId="27" borderId="33" xfId="0" applyFont="1" applyFill="1" applyBorder="1" applyAlignment="1">
      <alignment vertical="top" wrapText="1"/>
    </xf>
    <xf numFmtId="0" fontId="40" fillId="27" borderId="32" xfId="0" applyFont="1" applyFill="1" applyBorder="1" applyAlignment="1">
      <alignment vertical="top" wrapText="1"/>
    </xf>
    <xf numFmtId="0" fontId="40" fillId="27" borderId="2" xfId="0" applyFont="1" applyFill="1" applyBorder="1" applyAlignment="1">
      <alignment vertical="top" wrapText="1"/>
    </xf>
    <xf numFmtId="0" fontId="40" fillId="27" borderId="10" xfId="0" applyFont="1" applyFill="1" applyBorder="1" applyAlignment="1">
      <alignment vertical="top" wrapText="1"/>
    </xf>
    <xf numFmtId="0" fontId="40" fillId="0" borderId="155" xfId="0" applyFont="1" applyBorder="1" applyAlignment="1">
      <alignment horizontal="left" vertical="top" wrapText="1"/>
    </xf>
    <xf numFmtId="0" fontId="52" fillId="0" borderId="201" xfId="0" applyFont="1" applyBorder="1" applyAlignment="1">
      <alignment horizontal="center" vertical="center" wrapText="1"/>
    </xf>
    <xf numFmtId="0" fontId="52" fillId="0" borderId="202" xfId="0" applyFont="1" applyBorder="1" applyAlignment="1">
      <alignment horizontal="center" vertical="center" wrapText="1"/>
    </xf>
    <xf numFmtId="0" fontId="40" fillId="0" borderId="45" xfId="0" applyFont="1" applyBorder="1" applyAlignment="1">
      <alignment horizontal="center" vertical="center" wrapText="1"/>
    </xf>
    <xf numFmtId="0" fontId="40" fillId="27" borderId="11" xfId="0" applyFont="1" applyFill="1" applyBorder="1" applyAlignment="1">
      <alignment horizontal="center" vertical="center" wrapText="1"/>
    </xf>
    <xf numFmtId="0" fontId="40" fillId="0" borderId="46" xfId="0" applyFont="1" applyBorder="1" applyAlignment="1">
      <alignment horizontal="center" vertical="center" wrapText="1"/>
    </xf>
    <xf numFmtId="0" fontId="40" fillId="0" borderId="191" xfId="0" applyFont="1" applyBorder="1" applyAlignment="1">
      <alignment horizontal="center" vertical="center" wrapText="1"/>
    </xf>
    <xf numFmtId="0" fontId="38" fillId="11" borderId="1" xfId="0" applyFont="1" applyFill="1" applyBorder="1" applyAlignment="1">
      <alignment vertical="top"/>
    </xf>
    <xf numFmtId="0" fontId="40" fillId="11" borderId="155" xfId="0" applyFont="1" applyFill="1" applyBorder="1" applyAlignment="1">
      <alignment horizontal="left" vertical="top" wrapText="1"/>
    </xf>
    <xf numFmtId="0" fontId="52" fillId="0" borderId="198" xfId="0" applyFont="1" applyBorder="1" applyAlignment="1">
      <alignment horizontal="center" vertical="center" wrapText="1"/>
    </xf>
    <xf numFmtId="0" fontId="38" fillId="11" borderId="36" xfId="0" applyFont="1" applyFill="1" applyBorder="1" applyAlignment="1">
      <alignment vertical="top"/>
    </xf>
    <xf numFmtId="0" fontId="40" fillId="29" borderId="0" xfId="0" applyFont="1" applyFill="1" applyAlignment="1">
      <alignment horizontal="left" vertical="top" wrapText="1"/>
    </xf>
    <xf numFmtId="0" fontId="40" fillId="25" borderId="33" xfId="0" applyFont="1" applyFill="1" applyBorder="1" applyAlignment="1">
      <alignment vertical="top" wrapText="1"/>
    </xf>
    <xf numFmtId="0" fontId="40" fillId="25" borderId="32" xfId="0" applyFont="1" applyFill="1" applyBorder="1" applyAlignment="1">
      <alignment horizontal="center" vertical="center" textRotation="180" wrapText="1"/>
    </xf>
    <xf numFmtId="0" fontId="40" fillId="0" borderId="32" xfId="0" applyFont="1" applyBorder="1" applyAlignment="1">
      <alignment vertical="top" wrapText="1"/>
    </xf>
    <xf numFmtId="0" fontId="40" fillId="0" borderId="2" xfId="0" applyFont="1" applyBorder="1" applyAlignment="1">
      <alignment vertical="top" wrapText="1"/>
    </xf>
    <xf numFmtId="0" fontId="40" fillId="0" borderId="10" xfId="0" applyFont="1" applyBorder="1" applyAlignment="1">
      <alignment vertical="top" wrapText="1"/>
    </xf>
    <xf numFmtId="0" fontId="40" fillId="25" borderId="3" xfId="0" applyFont="1" applyFill="1" applyBorder="1" applyAlignment="1">
      <alignment horizontal="left" vertical="top" wrapText="1"/>
    </xf>
    <xf numFmtId="0" fontId="40" fillId="26" borderId="48" xfId="0" applyFont="1" applyFill="1" applyBorder="1" applyAlignment="1">
      <alignment horizontal="left" vertical="top" wrapText="1"/>
    </xf>
    <xf numFmtId="0" fontId="40" fillId="21" borderId="0" xfId="0" applyFont="1" applyFill="1" applyAlignment="1">
      <alignment vertical="top" wrapText="1"/>
    </xf>
    <xf numFmtId="0" fontId="40" fillId="0" borderId="3" xfId="0" applyFont="1" applyBorder="1" applyAlignment="1">
      <alignment vertical="top" wrapText="1"/>
    </xf>
    <xf numFmtId="0" fontId="40" fillId="36" borderId="10" xfId="0" applyFont="1" applyFill="1" applyBorder="1" applyAlignment="1">
      <alignment horizontal="center" vertical="center" wrapText="1"/>
    </xf>
    <xf numFmtId="0" fontId="40" fillId="36" borderId="48" xfId="0" applyFont="1" applyFill="1" applyBorder="1" applyAlignment="1">
      <alignment horizontal="center" vertical="center" wrapText="1"/>
    </xf>
    <xf numFmtId="6" fontId="38" fillId="25" borderId="5" xfId="0" applyNumberFormat="1" applyFont="1" applyFill="1" applyBorder="1" applyAlignment="1">
      <alignment horizontal="center" vertical="center" wrapText="1"/>
    </xf>
    <xf numFmtId="165" fontId="38" fillId="36" borderId="5" xfId="0" applyNumberFormat="1" applyFont="1" applyFill="1" applyBorder="1" applyAlignment="1">
      <alignment horizontal="center" vertical="center" wrapText="1"/>
    </xf>
    <xf numFmtId="165" fontId="38" fillId="36" borderId="16" xfId="0" applyNumberFormat="1" applyFont="1" applyFill="1" applyBorder="1" applyAlignment="1">
      <alignment horizontal="center" vertical="center" wrapText="1"/>
    </xf>
    <xf numFmtId="165" fontId="38" fillId="0" borderId="5" xfId="0" applyNumberFormat="1" applyFont="1" applyBorder="1" applyAlignment="1">
      <alignment vertical="center" wrapText="1"/>
    </xf>
    <xf numFmtId="165" fontId="38" fillId="36" borderId="47" xfId="0" applyNumberFormat="1" applyFont="1" applyFill="1" applyBorder="1" applyAlignment="1">
      <alignment horizontal="center" vertical="center" wrapText="1"/>
    </xf>
    <xf numFmtId="165" fontId="38" fillId="36" borderId="0" xfId="0" applyNumberFormat="1" applyFont="1" applyFill="1" applyAlignment="1">
      <alignment horizontal="center" vertical="center" wrapText="1"/>
    </xf>
    <xf numFmtId="165" fontId="38" fillId="36" borderId="49" xfId="0" applyNumberFormat="1" applyFont="1" applyFill="1" applyBorder="1" applyAlignment="1">
      <alignment horizontal="center" vertical="center" wrapText="1"/>
    </xf>
    <xf numFmtId="0" fontId="40" fillId="0" borderId="47" xfId="0" applyFont="1" applyBorder="1" applyAlignment="1">
      <alignment vertical="center" wrapText="1"/>
    </xf>
    <xf numFmtId="0" fontId="40" fillId="25" borderId="9" xfId="0" applyFont="1" applyFill="1" applyBorder="1" applyAlignment="1">
      <alignment vertical="top" wrapText="1"/>
    </xf>
    <xf numFmtId="6" fontId="40" fillId="36" borderId="16" xfId="0" applyNumberFormat="1" applyFont="1" applyFill="1" applyBorder="1" applyAlignment="1">
      <alignment vertical="center" wrapText="1"/>
    </xf>
    <xf numFmtId="6" fontId="38" fillId="0" borderId="5" xfId="0" applyNumberFormat="1" applyFont="1" applyBorder="1" applyAlignment="1">
      <alignment vertical="center" wrapText="1"/>
    </xf>
    <xf numFmtId="6" fontId="38" fillId="36" borderId="49" xfId="0" applyNumberFormat="1" applyFont="1" applyFill="1" applyBorder="1" applyAlignment="1">
      <alignment vertical="center" wrapText="1"/>
    </xf>
    <xf numFmtId="6" fontId="38" fillId="36" borderId="5" xfId="0" applyNumberFormat="1" applyFont="1" applyFill="1" applyBorder="1" applyAlignment="1">
      <alignment vertical="center" wrapText="1"/>
    </xf>
    <xf numFmtId="6" fontId="38" fillId="36" borderId="6" xfId="0" applyNumberFormat="1" applyFont="1" applyFill="1" applyBorder="1" applyAlignment="1">
      <alignment vertical="center" wrapText="1"/>
    </xf>
    <xf numFmtId="0" fontId="40" fillId="36" borderId="49" xfId="0" applyFont="1" applyFill="1" applyBorder="1" applyAlignment="1">
      <alignment vertical="center" wrapText="1"/>
    </xf>
    <xf numFmtId="0" fontId="40" fillId="36" borderId="5" xfId="0" applyFont="1" applyFill="1" applyBorder="1" applyAlignment="1">
      <alignment vertical="center" wrapText="1"/>
    </xf>
    <xf numFmtId="0" fontId="40" fillId="0" borderId="9" xfId="0" applyFont="1" applyBorder="1" applyAlignment="1">
      <alignment vertical="top" wrapText="1"/>
    </xf>
    <xf numFmtId="0" fontId="40" fillId="0" borderId="40" xfId="0" applyFont="1" applyBorder="1" applyAlignment="1">
      <alignment vertical="top" wrapText="1"/>
    </xf>
    <xf numFmtId="6" fontId="38" fillId="36" borderId="16" xfId="0" applyNumberFormat="1" applyFont="1" applyFill="1" applyBorder="1" applyAlignment="1">
      <alignment vertical="center" wrapText="1"/>
    </xf>
    <xf numFmtId="8" fontId="38" fillId="36" borderId="49" xfId="0" applyNumberFormat="1" applyFont="1" applyFill="1" applyBorder="1" applyAlignment="1">
      <alignment vertical="center" wrapText="1"/>
    </xf>
    <xf numFmtId="0" fontId="38" fillId="36" borderId="5" xfId="0" applyFont="1" applyFill="1" applyBorder="1" applyAlignment="1">
      <alignment vertical="center" wrapText="1"/>
    </xf>
    <xf numFmtId="0" fontId="40" fillId="0" borderId="33" xfId="0" applyFont="1" applyBorder="1" applyAlignment="1">
      <alignment horizontal="left" vertical="top" wrapText="1"/>
    </xf>
    <xf numFmtId="0" fontId="40" fillId="0" borderId="32" xfId="0" applyFont="1" applyBorder="1" applyAlignment="1">
      <alignment horizontal="left" vertical="top" wrapText="1"/>
    </xf>
    <xf numFmtId="0" fontId="40" fillId="0" borderId="34" xfId="0" applyFont="1" applyBorder="1" applyAlignment="1">
      <alignment horizontal="left" vertical="top" wrapText="1"/>
    </xf>
    <xf numFmtId="0" fontId="40" fillId="25" borderId="33" xfId="0" applyFont="1" applyFill="1" applyBorder="1" applyAlignment="1">
      <alignment horizontal="center" vertical="center" textRotation="180" wrapText="1"/>
    </xf>
    <xf numFmtId="0" fontId="40" fillId="29" borderId="0" xfId="0" applyFont="1" applyFill="1" applyAlignment="1">
      <alignment vertical="top" wrapText="1"/>
    </xf>
    <xf numFmtId="0" fontId="40" fillId="0" borderId="148" xfId="0" applyFont="1" applyBorder="1" applyAlignment="1">
      <alignment horizontal="left" vertical="top" wrapText="1"/>
    </xf>
    <xf numFmtId="0" fontId="52" fillId="0" borderId="195"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125" xfId="0" applyFont="1" applyBorder="1" applyAlignment="1">
      <alignment horizontal="center" vertical="center" wrapText="1"/>
    </xf>
    <xf numFmtId="0" fontId="52" fillId="0" borderId="187" xfId="0" applyFont="1" applyBorder="1" applyAlignment="1">
      <alignment horizontal="center" vertical="center" wrapText="1"/>
    </xf>
    <xf numFmtId="0" fontId="52" fillId="10" borderId="185" xfId="0" applyFont="1" applyFill="1" applyBorder="1" applyAlignment="1">
      <alignment horizontal="center" vertical="center" wrapText="1"/>
    </xf>
    <xf numFmtId="0" fontId="52" fillId="0" borderId="204"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184" xfId="0" applyFont="1" applyBorder="1" applyAlignment="1">
      <alignment horizontal="center" vertical="center" wrapText="1"/>
    </xf>
    <xf numFmtId="0" fontId="52" fillId="10" borderId="182" xfId="0" applyFont="1" applyFill="1" applyBorder="1" applyAlignment="1">
      <alignment horizontal="center" vertical="center" wrapText="1"/>
    </xf>
    <xf numFmtId="0" fontId="38" fillId="27" borderId="123" xfId="0" applyFont="1" applyFill="1" applyBorder="1" applyAlignment="1">
      <alignment vertical="center" wrapText="1"/>
    </xf>
    <xf numFmtId="0" fontId="38" fillId="27" borderId="127" xfId="0" applyFont="1" applyFill="1" applyBorder="1" applyAlignment="1">
      <alignment vertical="center" wrapText="1"/>
    </xf>
    <xf numFmtId="0" fontId="38" fillId="36" borderId="128" xfId="0" applyFont="1" applyFill="1" applyBorder="1" applyAlignment="1">
      <alignment horizontal="center" vertical="center" wrapText="1"/>
    </xf>
    <xf numFmtId="0" fontId="38" fillId="36" borderId="123" xfId="0" applyFont="1" applyFill="1" applyBorder="1" applyAlignment="1">
      <alignment horizontal="center" vertical="center" wrapText="1"/>
    </xf>
    <xf numFmtId="0" fontId="38" fillId="36" borderId="129" xfId="0" applyFont="1" applyFill="1" applyBorder="1" applyAlignment="1">
      <alignment horizontal="center" vertical="center" wrapText="1"/>
    </xf>
    <xf numFmtId="0" fontId="38" fillId="36" borderId="122"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03" xfId="0" applyFont="1" applyBorder="1" applyAlignment="1">
      <alignment horizontal="center" vertical="center" wrapText="1"/>
    </xf>
    <xf numFmtId="0" fontId="40" fillId="25" borderId="33" xfId="0" applyFont="1" applyFill="1" applyBorder="1" applyAlignment="1">
      <alignment horizontal="left" vertical="top" wrapText="1"/>
    </xf>
    <xf numFmtId="6" fontId="40" fillId="21" borderId="141" xfId="0" applyNumberFormat="1" applyFont="1" applyFill="1" applyBorder="1" applyAlignment="1">
      <alignment horizontal="left" vertical="top" wrapText="1"/>
    </xf>
    <xf numFmtId="0" fontId="40" fillId="0" borderId="9" xfId="0" applyFont="1" applyBorder="1" applyAlignment="1">
      <alignment horizontal="center" vertical="center" wrapText="1"/>
    </xf>
    <xf numFmtId="0" fontId="40" fillId="0" borderId="48"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9" xfId="0" applyFont="1" applyBorder="1" applyAlignment="1">
      <alignment horizontal="center" vertical="center" wrapText="1"/>
    </xf>
    <xf numFmtId="0" fontId="40" fillId="0" borderId="45" xfId="0" applyFont="1" applyBorder="1" applyAlignment="1">
      <alignment vertical="top" wrapText="1"/>
    </xf>
    <xf numFmtId="0" fontId="56" fillId="29" borderId="0" xfId="0" applyFont="1" applyFill="1" applyAlignment="1">
      <alignment vertical="top" wrapText="1"/>
    </xf>
    <xf numFmtId="0" fontId="40" fillId="0" borderId="6"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5" xfId="0" applyFont="1" applyBorder="1" applyAlignment="1">
      <alignment vertical="top" wrapText="1"/>
    </xf>
    <xf numFmtId="0" fontId="38" fillId="0" borderId="5"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49" xfId="0" applyFont="1" applyBorder="1" applyAlignment="1">
      <alignment horizontal="center" vertical="center" wrapText="1"/>
    </xf>
    <xf numFmtId="0" fontId="40" fillId="0" borderId="49" xfId="0" applyFont="1" applyBorder="1" applyAlignment="1">
      <alignment horizontal="center" vertical="center" wrapText="1"/>
    </xf>
    <xf numFmtId="0" fontId="40" fillId="0" borderId="47" xfId="0" applyFont="1" applyBorder="1" applyAlignment="1">
      <alignment vertical="top" wrapText="1"/>
    </xf>
    <xf numFmtId="0" fontId="40" fillId="0" borderId="8" xfId="0" applyFont="1" applyBorder="1" applyAlignment="1">
      <alignment vertical="top" wrapText="1"/>
    </xf>
    <xf numFmtId="0" fontId="38" fillId="0" borderId="8" xfId="0" applyFont="1" applyBorder="1" applyAlignment="1">
      <alignment horizontal="center" vertical="center" wrapText="1"/>
    </xf>
    <xf numFmtId="0" fontId="38" fillId="0" borderId="11" xfId="0" applyFont="1" applyBorder="1" applyAlignment="1">
      <alignment horizontal="center" vertical="center" wrapText="1"/>
    </xf>
    <xf numFmtId="0" fontId="38" fillId="0" borderId="50" xfId="0" applyFont="1" applyBorder="1" applyAlignment="1">
      <alignment horizontal="center" vertical="center" wrapText="1"/>
    </xf>
    <xf numFmtId="0" fontId="40" fillId="0" borderId="50" xfId="0" applyFont="1" applyBorder="1" applyAlignment="1">
      <alignment horizontal="center" vertical="center" wrapText="1"/>
    </xf>
    <xf numFmtId="0" fontId="40" fillId="0" borderId="46" xfId="0" applyFont="1" applyBorder="1" applyAlignment="1">
      <alignment vertical="top" wrapText="1"/>
    </xf>
    <xf numFmtId="0" fontId="40" fillId="25" borderId="32" xfId="0" applyFont="1" applyFill="1" applyBorder="1" applyAlignment="1">
      <alignment horizontal="left" vertical="top" wrapText="1"/>
    </xf>
    <xf numFmtId="0" fontId="38" fillId="0" borderId="18" xfId="0" applyFont="1" applyBorder="1" applyAlignment="1">
      <alignment horizontal="center" vertical="center" wrapText="1"/>
    </xf>
    <xf numFmtId="0" fontId="40" fillId="36" borderId="8" xfId="0" applyFont="1" applyFill="1" applyBorder="1" applyAlignment="1">
      <alignment horizontal="center" vertical="center" wrapText="1"/>
    </xf>
    <xf numFmtId="165" fontId="38" fillId="36" borderId="8" xfId="0" applyNumberFormat="1" applyFont="1" applyFill="1" applyBorder="1" applyAlignment="1">
      <alignment horizontal="center" vertical="center" wrapText="1"/>
    </xf>
    <xf numFmtId="0" fontId="40" fillId="36" borderId="50" xfId="0" applyFont="1" applyFill="1" applyBorder="1" applyAlignment="1">
      <alignment horizontal="center" vertical="center" wrapText="1"/>
    </xf>
    <xf numFmtId="0" fontId="40" fillId="36" borderId="11" xfId="0" applyFont="1" applyFill="1" applyBorder="1" applyAlignment="1">
      <alignment horizontal="center" vertical="center" wrapText="1"/>
    </xf>
    <xf numFmtId="0" fontId="40" fillId="29" borderId="1" xfId="0" applyFont="1" applyFill="1" applyBorder="1" applyAlignment="1">
      <alignment horizontal="left" vertical="top" wrapText="1"/>
    </xf>
    <xf numFmtId="0" fontId="40" fillId="36" borderId="116" xfId="0" applyFont="1" applyFill="1" applyBorder="1" applyAlignment="1">
      <alignment horizontal="center" vertical="center" wrapText="1"/>
    </xf>
    <xf numFmtId="0" fontId="38" fillId="0" borderId="119" xfId="0" applyFont="1" applyBorder="1" applyAlignment="1">
      <alignment horizontal="center" vertical="center" wrapText="1"/>
    </xf>
    <xf numFmtId="0" fontId="38" fillId="0" borderId="116" xfId="0" applyFont="1" applyBorder="1" applyAlignment="1">
      <alignment horizontal="center" vertical="center" wrapText="1"/>
    </xf>
    <xf numFmtId="0" fontId="38" fillId="0" borderId="117" xfId="0" applyFont="1" applyBorder="1" applyAlignment="1">
      <alignment horizontal="center" vertical="center" wrapText="1"/>
    </xf>
    <xf numFmtId="0" fontId="40" fillId="36" borderId="115" xfId="0" applyFont="1" applyFill="1" applyBorder="1" applyAlignment="1">
      <alignment horizontal="center" vertical="center" wrapText="1"/>
    </xf>
    <xf numFmtId="0" fontId="40" fillId="36" borderId="117" xfId="0" applyFont="1" applyFill="1" applyBorder="1" applyAlignment="1">
      <alignment horizontal="center" vertical="center" wrapText="1"/>
    </xf>
    <xf numFmtId="0" fontId="40" fillId="0" borderId="120" xfId="0" applyFont="1" applyBorder="1" applyAlignment="1">
      <alignment vertical="top" wrapText="1"/>
    </xf>
    <xf numFmtId="0" fontId="40" fillId="0" borderId="172" xfId="0" applyFont="1" applyBorder="1" applyAlignment="1">
      <alignment horizontal="left" vertical="top" wrapText="1"/>
    </xf>
    <xf numFmtId="0" fontId="40" fillId="0" borderId="68" xfId="0" applyFont="1" applyBorder="1" applyAlignment="1">
      <alignment horizontal="left" vertical="top" wrapText="1"/>
    </xf>
    <xf numFmtId="0" fontId="40" fillId="0" borderId="173" xfId="0" applyFont="1" applyBorder="1" applyAlignment="1">
      <alignment horizontal="left" vertical="top" wrapText="1"/>
    </xf>
    <xf numFmtId="0" fontId="40" fillId="36" borderId="5" xfId="0" applyFont="1" applyFill="1" applyBorder="1" applyAlignment="1">
      <alignment horizontal="center" vertical="center" wrapText="1"/>
    </xf>
    <xf numFmtId="0" fontId="40" fillId="36" borderId="6" xfId="0" applyFont="1" applyFill="1" applyBorder="1" applyAlignment="1">
      <alignment horizontal="center" vertical="center" wrapText="1"/>
    </xf>
    <xf numFmtId="165" fontId="38" fillId="0" borderId="8" xfId="0" applyNumberFormat="1" applyFont="1" applyBorder="1" applyAlignment="1">
      <alignment horizontal="center" vertical="center" wrapText="1"/>
    </xf>
    <xf numFmtId="165" fontId="38" fillId="36" borderId="116" xfId="0" applyNumberFormat="1" applyFont="1" applyFill="1" applyBorder="1" applyAlignment="1">
      <alignment horizontal="center" vertical="center" wrapText="1"/>
    </xf>
    <xf numFmtId="165" fontId="38" fillId="36" borderId="117" xfId="0" applyNumberFormat="1" applyFont="1" applyFill="1" applyBorder="1" applyAlignment="1">
      <alignment horizontal="center" vertical="center" wrapText="1"/>
    </xf>
    <xf numFmtId="0" fontId="38" fillId="0" borderId="115" xfId="0" applyFont="1" applyBorder="1" applyAlignment="1">
      <alignment horizontal="center" vertical="center" wrapText="1"/>
    </xf>
    <xf numFmtId="0" fontId="40" fillId="0" borderId="115" xfId="0" applyFont="1" applyBorder="1" applyAlignment="1">
      <alignment horizontal="center" vertical="center" wrapText="1"/>
    </xf>
    <xf numFmtId="0" fontId="38" fillId="0" borderId="0" xfId="0" applyFont="1" applyAlignment="1">
      <alignment horizontal="center" vertical="center" wrapText="1"/>
    </xf>
    <xf numFmtId="0" fontId="40" fillId="0" borderId="196" xfId="0" applyFont="1" applyBorder="1" applyAlignment="1">
      <alignment horizontal="center" vertical="center" wrapText="1"/>
    </xf>
    <xf numFmtId="0" fontId="40" fillId="36" borderId="16" xfId="0" applyFont="1" applyFill="1" applyBorder="1" applyAlignment="1">
      <alignment horizontal="center" vertical="center" wrapText="1"/>
    </xf>
    <xf numFmtId="0" fontId="40" fillId="36" borderId="18" xfId="0" applyFont="1" applyFill="1" applyBorder="1" applyAlignment="1">
      <alignment horizontal="center" vertical="center" wrapText="1"/>
    </xf>
    <xf numFmtId="165" fontId="40" fillId="36" borderId="3" xfId="0" applyNumberFormat="1" applyFont="1" applyFill="1" applyBorder="1" applyAlignment="1">
      <alignment horizontal="center" vertical="center" wrapText="1"/>
    </xf>
    <xf numFmtId="0" fontId="38" fillId="11" borderId="50" xfId="0" applyFont="1" applyFill="1" applyBorder="1" applyAlignment="1">
      <alignment horizontal="left" vertical="top"/>
    </xf>
    <xf numFmtId="0" fontId="38" fillId="11" borderId="8" xfId="0" applyFont="1" applyFill="1" applyBorder="1" applyAlignment="1">
      <alignment vertical="top"/>
    </xf>
    <xf numFmtId="0" fontId="38" fillId="11" borderId="133" xfId="0" applyFont="1" applyFill="1" applyBorder="1" applyAlignment="1">
      <alignment horizontal="left" vertical="top"/>
    </xf>
    <xf numFmtId="0" fontId="38" fillId="11" borderId="46" xfId="0" applyFont="1" applyFill="1" applyBorder="1" applyAlignment="1">
      <alignment vertical="top"/>
    </xf>
    <xf numFmtId="0" fontId="38" fillId="11" borderId="18" xfId="0" applyFont="1" applyFill="1" applyBorder="1" applyAlignment="1">
      <alignment horizontal="center" vertical="center" wrapText="1"/>
    </xf>
    <xf numFmtId="0" fontId="38" fillId="11" borderId="8" xfId="0" applyFont="1" applyFill="1" applyBorder="1" applyAlignment="1">
      <alignment horizontal="center" vertical="center" wrapText="1"/>
    </xf>
    <xf numFmtId="0" fontId="38" fillId="11" borderId="11" xfId="0" applyFont="1" applyFill="1" applyBorder="1" applyAlignment="1">
      <alignment horizontal="center" vertical="center" wrapText="1"/>
    </xf>
    <xf numFmtId="0" fontId="38" fillId="11" borderId="50" xfId="0" applyFont="1" applyFill="1" applyBorder="1" applyAlignment="1">
      <alignment horizontal="center" vertical="center" wrapText="1"/>
    </xf>
    <xf numFmtId="0" fontId="40" fillId="11" borderId="46" xfId="0" applyFont="1" applyFill="1" applyBorder="1" applyAlignment="1">
      <alignment vertical="top" wrapText="1"/>
    </xf>
    <xf numFmtId="0" fontId="40" fillId="0" borderId="32" xfId="0" applyFont="1" applyBorder="1" applyAlignment="1">
      <alignment horizontal="center" vertical="center" textRotation="180" wrapText="1"/>
    </xf>
    <xf numFmtId="0" fontId="40" fillId="36" borderId="9" xfId="0" applyFont="1" applyFill="1" applyBorder="1" applyAlignment="1">
      <alignment vertical="top" wrapText="1"/>
    </xf>
    <xf numFmtId="0" fontId="40" fillId="36" borderId="45" xfId="0" applyFont="1" applyFill="1" applyBorder="1" applyAlignment="1">
      <alignment vertical="top" wrapText="1"/>
    </xf>
    <xf numFmtId="165" fontId="38" fillId="36" borderId="46" xfId="0" applyNumberFormat="1" applyFont="1" applyFill="1" applyBorder="1" applyAlignment="1">
      <alignment horizontal="center" vertical="center" wrapText="1"/>
    </xf>
    <xf numFmtId="0" fontId="40" fillId="25" borderId="172" xfId="0" applyFont="1" applyFill="1" applyBorder="1" applyAlignment="1">
      <alignment horizontal="center" vertical="center" textRotation="180" wrapText="1"/>
    </xf>
    <xf numFmtId="0" fontId="40" fillId="25" borderId="68" xfId="0" applyFont="1" applyFill="1" applyBorder="1" applyAlignment="1">
      <alignment horizontal="left" vertical="top" wrapText="1"/>
    </xf>
    <xf numFmtId="0" fontId="40" fillId="25" borderId="68" xfId="0" applyFont="1" applyFill="1" applyBorder="1" applyAlignment="1">
      <alignment horizontal="center" vertical="center" textRotation="180" wrapText="1"/>
    </xf>
    <xf numFmtId="6" fontId="40" fillId="25" borderId="5" xfId="0" applyNumberFormat="1" applyFont="1" applyFill="1" applyBorder="1" applyAlignment="1">
      <alignment horizontal="center" vertical="center" wrapText="1"/>
    </xf>
    <xf numFmtId="165" fontId="38" fillId="0" borderId="49" xfId="0" applyNumberFormat="1" applyFont="1" applyBorder="1" applyAlignment="1">
      <alignment horizontal="center" vertical="center" wrapText="1"/>
    </xf>
    <xf numFmtId="165" fontId="38" fillId="36" borderId="6" xfId="0" applyNumberFormat="1" applyFont="1" applyFill="1" applyBorder="1" applyAlignment="1">
      <alignment horizontal="center" vertical="center" wrapText="1"/>
    </xf>
    <xf numFmtId="165" fontId="38" fillId="36" borderId="231" xfId="0" applyNumberFormat="1" applyFont="1" applyFill="1" applyBorder="1" applyAlignment="1">
      <alignment horizontal="center" vertical="center" wrapText="1"/>
    </xf>
    <xf numFmtId="165" fontId="38" fillId="0" borderId="5" xfId="0" applyNumberFormat="1" applyFont="1" applyBorder="1" applyAlignment="1">
      <alignment horizontal="center" vertical="center" wrapText="1"/>
    </xf>
    <xf numFmtId="165" fontId="38" fillId="0" borderId="6" xfId="0" applyNumberFormat="1" applyFont="1" applyBorder="1" applyAlignment="1">
      <alignment horizontal="center" vertical="center" wrapText="1"/>
    </xf>
    <xf numFmtId="165" fontId="40" fillId="0" borderId="8" xfId="0" applyNumberFormat="1" applyFont="1" applyBorder="1" applyAlignment="1">
      <alignment horizontal="center" vertical="center" wrapText="1"/>
    </xf>
    <xf numFmtId="165" fontId="38" fillId="21" borderId="8" xfId="0" applyNumberFormat="1" applyFont="1" applyFill="1" applyBorder="1" applyAlignment="1">
      <alignment horizontal="center" vertical="center" wrapText="1"/>
    </xf>
    <xf numFmtId="8" fontId="38" fillId="21" borderId="8" xfId="0" applyNumberFormat="1" applyFont="1" applyFill="1" applyBorder="1" applyAlignment="1">
      <alignment horizontal="center" vertical="center" wrapText="1"/>
    </xf>
    <xf numFmtId="165" fontId="38" fillId="21" borderId="11" xfId="0" applyNumberFormat="1" applyFont="1" applyFill="1" applyBorder="1" applyAlignment="1">
      <alignment horizontal="center" vertical="center" wrapText="1"/>
    </xf>
    <xf numFmtId="165" fontId="38" fillId="21" borderId="232" xfId="0" applyNumberFormat="1" applyFont="1" applyFill="1" applyBorder="1" applyAlignment="1">
      <alignment horizontal="center" vertical="center" wrapText="1"/>
    </xf>
    <xf numFmtId="165" fontId="38" fillId="0" borderId="18" xfId="0" applyNumberFormat="1" applyFont="1" applyBorder="1" applyAlignment="1">
      <alignment horizontal="center" vertical="center" wrapText="1"/>
    </xf>
    <xf numFmtId="165" fontId="40" fillId="0" borderId="50" xfId="0" applyNumberFormat="1" applyFont="1" applyBorder="1" applyAlignment="1">
      <alignment horizontal="center" vertical="center" wrapText="1"/>
    </xf>
    <xf numFmtId="165" fontId="40" fillId="36" borderId="10" xfId="0" applyNumberFormat="1" applyFont="1" applyFill="1" applyBorder="1" applyAlignment="1">
      <alignment horizontal="center" vertical="center" wrapText="1"/>
    </xf>
    <xf numFmtId="165" fontId="40" fillId="0" borderId="3" xfId="0" applyNumberFormat="1" applyFont="1" applyBorder="1" applyAlignment="1">
      <alignment horizontal="center" vertical="center" wrapText="1"/>
    </xf>
    <xf numFmtId="164" fontId="40" fillId="0" borderId="3" xfId="0" applyNumberFormat="1" applyFont="1" applyBorder="1" applyAlignment="1">
      <alignment horizontal="center" vertical="center" wrapText="1"/>
    </xf>
    <xf numFmtId="6" fontId="40" fillId="0" borderId="115" xfId="0" applyNumberFormat="1" applyFont="1" applyBorder="1" applyAlignment="1">
      <alignment horizontal="center" vertical="center" wrapText="1"/>
    </xf>
    <xf numFmtId="0" fontId="40" fillId="0" borderId="116" xfId="0" applyFont="1" applyBorder="1" applyAlignment="1">
      <alignment vertical="top" wrapText="1"/>
    </xf>
    <xf numFmtId="165" fontId="38" fillId="36" borderId="119" xfId="0" applyNumberFormat="1" applyFont="1" applyFill="1" applyBorder="1" applyAlignment="1">
      <alignment horizontal="center" vertical="center" wrapText="1"/>
    </xf>
    <xf numFmtId="165" fontId="38" fillId="0" borderId="116" xfId="0" applyNumberFormat="1" applyFont="1" applyBorder="1" applyAlignment="1">
      <alignment horizontal="center" vertical="center" wrapText="1"/>
    </xf>
    <xf numFmtId="0" fontId="38" fillId="0" borderId="196" xfId="0" applyFont="1" applyBorder="1" applyAlignment="1">
      <alignment horizontal="center" vertical="center" wrapText="1"/>
    </xf>
    <xf numFmtId="6" fontId="40" fillId="27" borderId="2" xfId="0" applyNumberFormat="1" applyFont="1" applyFill="1" applyBorder="1" applyAlignment="1">
      <alignment horizontal="center" vertical="center" wrapText="1"/>
    </xf>
    <xf numFmtId="0" fontId="40" fillId="36" borderId="17" xfId="0" applyFont="1" applyFill="1" applyBorder="1" applyAlignment="1">
      <alignment horizontal="center" vertical="center" wrapText="1"/>
    </xf>
    <xf numFmtId="0" fontId="40" fillId="36" borderId="46" xfId="0" applyFont="1" applyFill="1" applyBorder="1" applyAlignment="1">
      <alignment horizontal="center" vertical="center" wrapText="1"/>
    </xf>
    <xf numFmtId="0" fontId="38" fillId="0" borderId="16" xfId="0" applyFont="1" applyBorder="1" applyAlignment="1">
      <alignment horizontal="center" vertical="center" wrapText="1"/>
    </xf>
    <xf numFmtId="0" fontId="40" fillId="0" borderId="175" xfId="0" applyFont="1" applyBorder="1" applyAlignment="1">
      <alignment vertical="top" wrapText="1"/>
    </xf>
    <xf numFmtId="0" fontId="40" fillId="0" borderId="195" xfId="0" applyFont="1" applyBorder="1" applyAlignment="1">
      <alignment horizontal="center" vertical="center" wrapText="1"/>
    </xf>
    <xf numFmtId="0" fontId="38" fillId="36" borderId="169" xfId="0" applyFont="1" applyFill="1" applyBorder="1" applyAlignment="1">
      <alignment horizontal="center" vertical="center" wrapText="1"/>
    </xf>
    <xf numFmtId="0" fontId="38" fillId="36" borderId="98" xfId="0" applyFont="1" applyFill="1" applyBorder="1" applyAlignment="1">
      <alignment horizontal="center" vertical="center" wrapText="1"/>
    </xf>
    <xf numFmtId="0" fontId="38" fillId="36" borderId="108" xfId="0" applyFont="1" applyFill="1" applyBorder="1" applyAlignment="1">
      <alignment horizontal="center" vertical="center" wrapText="1"/>
    </xf>
    <xf numFmtId="0" fontId="38" fillId="36" borderId="101" xfId="0" applyFont="1" applyFill="1" applyBorder="1" applyAlignment="1">
      <alignment horizontal="center" vertical="center" wrapText="1"/>
    </xf>
    <xf numFmtId="165" fontId="54" fillId="0" borderId="204" xfId="0" applyNumberFormat="1" applyFont="1" applyBorder="1" applyAlignment="1">
      <alignment horizontal="center" vertical="center" wrapText="1"/>
    </xf>
    <xf numFmtId="3" fontId="38" fillId="36" borderId="156" xfId="0" applyNumberFormat="1" applyFont="1" applyFill="1" applyBorder="1" applyAlignment="1">
      <alignment horizontal="center" vertical="center" wrapText="1"/>
    </xf>
    <xf numFmtId="3" fontId="38" fillId="36" borderId="99" xfId="0" applyNumberFormat="1" applyFont="1" applyFill="1" applyBorder="1" applyAlignment="1">
      <alignment horizontal="center" vertical="center" wrapText="1"/>
    </xf>
    <xf numFmtId="0" fontId="38" fillId="36" borderId="99" xfId="0" applyFont="1" applyFill="1" applyBorder="1" applyAlignment="1">
      <alignment horizontal="center" vertical="center" wrapText="1"/>
    </xf>
    <xf numFmtId="3" fontId="38" fillId="36" borderId="109" xfId="0" applyNumberFormat="1" applyFont="1" applyFill="1" applyBorder="1" applyAlignment="1">
      <alignment horizontal="center" vertical="center" wrapText="1"/>
    </xf>
    <xf numFmtId="0" fontId="38" fillId="36" borderId="102" xfId="0" applyFont="1" applyFill="1" applyBorder="1" applyAlignment="1">
      <alignment horizontal="center" vertical="center" wrapText="1"/>
    </xf>
    <xf numFmtId="0" fontId="38" fillId="36" borderId="109" xfId="0" applyFont="1" applyFill="1" applyBorder="1" applyAlignment="1">
      <alignment horizontal="center" vertical="center" wrapText="1"/>
    </xf>
    <xf numFmtId="3" fontId="38" fillId="36" borderId="102" xfId="0" applyNumberFormat="1" applyFont="1" applyFill="1" applyBorder="1" applyAlignment="1">
      <alignment horizontal="center" vertical="center" wrapText="1"/>
    </xf>
    <xf numFmtId="0" fontId="38" fillId="11" borderId="77" xfId="0" applyFont="1" applyFill="1" applyBorder="1" applyAlignment="1">
      <alignment horizontal="left" vertical="top"/>
    </xf>
    <xf numFmtId="0" fontId="38" fillId="11" borderId="78" xfId="0" applyFont="1" applyFill="1" applyBorder="1" applyAlignment="1">
      <alignment horizontal="right" vertical="top" wrapText="1"/>
    </xf>
    <xf numFmtId="0" fontId="40" fillId="11" borderId="112" xfId="0" applyFont="1" applyFill="1" applyBorder="1" applyAlignment="1">
      <alignment vertical="top" wrapText="1"/>
    </xf>
    <xf numFmtId="0" fontId="38" fillId="11" borderId="136" xfId="0" applyFont="1" applyFill="1" applyBorder="1" applyAlignment="1">
      <alignment horizontal="left" vertical="top"/>
    </xf>
    <xf numFmtId="0" fontId="38" fillId="11" borderId="82" xfId="0" applyFont="1" applyFill="1" applyBorder="1" applyAlignment="1">
      <alignment horizontal="right" vertical="top" wrapText="1"/>
    </xf>
    <xf numFmtId="0" fontId="38" fillId="11" borderId="113" xfId="0" applyFont="1" applyFill="1" applyBorder="1" applyAlignment="1">
      <alignment horizontal="center" vertical="center" wrapText="1"/>
    </xf>
    <xf numFmtId="0" fontId="38" fillId="11" borderId="157" xfId="0" applyFont="1" applyFill="1" applyBorder="1" applyAlignment="1">
      <alignment horizontal="center" vertical="center" wrapText="1"/>
    </xf>
    <xf numFmtId="0" fontId="38" fillId="11" borderId="162" xfId="0" applyFont="1" applyFill="1" applyBorder="1" applyAlignment="1">
      <alignment horizontal="center" vertical="center" wrapText="1"/>
    </xf>
    <xf numFmtId="0" fontId="38" fillId="11" borderId="114" xfId="0" applyFont="1" applyFill="1" applyBorder="1" applyAlignment="1">
      <alignment horizontal="center" vertical="center" wrapText="1"/>
    </xf>
    <xf numFmtId="0" fontId="40" fillId="11" borderId="157" xfId="0" applyFont="1" applyFill="1" applyBorder="1" applyAlignment="1">
      <alignment vertical="top" wrapText="1"/>
    </xf>
    <xf numFmtId="0" fontId="40" fillId="11" borderId="159" xfId="0" applyFont="1" applyFill="1" applyBorder="1" applyAlignment="1">
      <alignment vertical="top" wrapText="1"/>
    </xf>
    <xf numFmtId="6" fontId="52" fillId="0" borderId="0" xfId="0" applyNumberFormat="1" applyFont="1" applyAlignment="1">
      <alignment horizontal="center" vertical="center" wrapText="1"/>
    </xf>
    <xf numFmtId="0" fontId="56" fillId="27" borderId="0" xfId="0" applyFont="1" applyFill="1" applyAlignment="1">
      <alignment vertical="top" wrapText="1"/>
    </xf>
    <xf numFmtId="0" fontId="51" fillId="27" borderId="0" xfId="0" applyFont="1" applyFill="1" applyAlignment="1">
      <alignment horizontal="right" vertical="top"/>
    </xf>
    <xf numFmtId="165" fontId="51" fillId="27" borderId="24" xfId="0" applyNumberFormat="1" applyFont="1" applyFill="1" applyBorder="1" applyAlignment="1">
      <alignment horizontal="right" vertical="top" wrapText="1"/>
    </xf>
    <xf numFmtId="0" fontId="51" fillId="27" borderId="24" xfId="0" applyFont="1" applyFill="1" applyBorder="1" applyAlignment="1">
      <alignment horizontal="right" vertical="top"/>
    </xf>
    <xf numFmtId="165" fontId="51" fillId="27" borderId="64" xfId="0" applyNumberFormat="1" applyFont="1" applyFill="1" applyBorder="1" applyAlignment="1">
      <alignment horizontal="right" vertical="top" wrapText="1"/>
    </xf>
    <xf numFmtId="165" fontId="51" fillId="24" borderId="0" xfId="0" applyNumberFormat="1" applyFont="1" applyFill="1" applyAlignment="1">
      <alignment horizontal="right" vertical="top" wrapText="1"/>
    </xf>
    <xf numFmtId="0" fontId="56" fillId="24" borderId="65" xfId="0" applyFont="1" applyFill="1" applyBorder="1" applyAlignment="1">
      <alignment vertical="top" wrapText="1"/>
    </xf>
    <xf numFmtId="0" fontId="56" fillId="24" borderId="68" xfId="0" applyFont="1" applyFill="1" applyBorder="1" applyAlignment="1">
      <alignment vertical="top" wrapText="1"/>
    </xf>
    <xf numFmtId="0" fontId="56" fillId="24" borderId="87" xfId="0" applyFont="1" applyFill="1" applyBorder="1" applyAlignment="1">
      <alignment horizontal="left" vertical="top" wrapText="1"/>
    </xf>
    <xf numFmtId="165" fontId="51" fillId="24" borderId="65" xfId="0" applyNumberFormat="1" applyFont="1" applyFill="1" applyBorder="1" applyAlignment="1">
      <alignment horizontal="right" vertical="top" wrapText="1"/>
    </xf>
    <xf numFmtId="0" fontId="56" fillId="24" borderId="0" xfId="0" applyFont="1" applyFill="1" applyAlignment="1">
      <alignment horizontal="left" vertical="top" wrapText="1"/>
    </xf>
    <xf numFmtId="0" fontId="56" fillId="24" borderId="0" xfId="0" applyFont="1" applyFill="1" applyAlignment="1">
      <alignment vertical="top" wrapText="1"/>
    </xf>
    <xf numFmtId="0" fontId="56" fillId="0" borderId="0" xfId="0" applyFont="1" applyAlignment="1">
      <alignment vertical="top" wrapText="1"/>
    </xf>
    <xf numFmtId="0" fontId="56" fillId="25" borderId="0" xfId="0" applyFont="1" applyFill="1" applyAlignment="1">
      <alignment vertical="top" wrapText="1"/>
    </xf>
    <xf numFmtId="0" fontId="58" fillId="25" borderId="0" xfId="0" applyFont="1" applyFill="1" applyAlignment="1">
      <alignment vertical="top" wrapText="1"/>
    </xf>
    <xf numFmtId="0" fontId="51" fillId="25" borderId="0" xfId="0" applyFont="1" applyFill="1" applyAlignment="1">
      <alignment horizontal="right" vertical="top"/>
    </xf>
    <xf numFmtId="0" fontId="56" fillId="25" borderId="24" xfId="0" applyFont="1" applyFill="1" applyBorder="1" applyAlignment="1">
      <alignment horizontal="left" vertical="top" wrapText="1"/>
    </xf>
    <xf numFmtId="0" fontId="51" fillId="25" borderId="24" xfId="0" applyFont="1" applyFill="1" applyBorder="1" applyAlignment="1">
      <alignment horizontal="right" vertical="top"/>
    </xf>
    <xf numFmtId="0" fontId="56" fillId="25" borderId="24" xfId="0" applyFont="1" applyFill="1" applyBorder="1" applyAlignment="1">
      <alignment vertical="top" wrapText="1"/>
    </xf>
    <xf numFmtId="165" fontId="51" fillId="25" borderId="64" xfId="0" applyNumberFormat="1" applyFont="1" applyFill="1" applyBorder="1" applyAlignment="1">
      <alignment horizontal="right" vertical="top" wrapText="1"/>
    </xf>
    <xf numFmtId="0" fontId="56" fillId="0" borderId="0" xfId="0" applyFont="1" applyAlignment="1">
      <alignment horizontal="left" vertical="top" wrapText="1"/>
    </xf>
    <xf numFmtId="0" fontId="56" fillId="0" borderId="68" xfId="0" applyFont="1" applyBorder="1" applyAlignment="1">
      <alignment horizontal="left" vertical="top" wrapText="1"/>
    </xf>
    <xf numFmtId="0" fontId="56" fillId="0" borderId="87" xfId="0" applyFont="1" applyBorder="1" applyAlignment="1">
      <alignment horizontal="left" vertical="top" wrapText="1"/>
    </xf>
    <xf numFmtId="0" fontId="56" fillId="0" borderId="65" xfId="0" applyFont="1" applyBorder="1" applyAlignment="1">
      <alignment vertical="top" wrapText="1"/>
    </xf>
    <xf numFmtId="0" fontId="58" fillId="0" borderId="0" xfId="0" applyFont="1" applyAlignment="1">
      <alignment vertical="top" wrapText="1"/>
    </xf>
    <xf numFmtId="0" fontId="56" fillId="0" borderId="68" xfId="0" applyFont="1" applyBorder="1" applyAlignment="1">
      <alignment vertical="top" wrapText="1"/>
    </xf>
    <xf numFmtId="0" fontId="56" fillId="26" borderId="0" xfId="0" applyFont="1" applyFill="1" applyAlignment="1">
      <alignment vertical="top" wrapText="1"/>
    </xf>
    <xf numFmtId="0" fontId="51" fillId="26" borderId="0" xfId="0" applyFont="1" applyFill="1" applyAlignment="1">
      <alignment horizontal="right" vertical="top"/>
    </xf>
    <xf numFmtId="0" fontId="56" fillId="26" borderId="24" xfId="0" applyFont="1" applyFill="1" applyBorder="1" applyAlignment="1">
      <alignment horizontal="left" vertical="top" wrapText="1"/>
    </xf>
    <xf numFmtId="0" fontId="51" fillId="26" borderId="24" xfId="0" applyFont="1" applyFill="1" applyBorder="1" applyAlignment="1">
      <alignment horizontal="right" vertical="top"/>
    </xf>
    <xf numFmtId="0" fontId="56" fillId="26" borderId="24" xfId="0" applyFont="1" applyFill="1" applyBorder="1" applyAlignment="1">
      <alignment vertical="top" wrapText="1"/>
    </xf>
    <xf numFmtId="0" fontId="56" fillId="24" borderId="69" xfId="0" applyFont="1" applyFill="1" applyBorder="1" applyAlignment="1">
      <alignment horizontal="left" vertical="top" wrapText="1"/>
    </xf>
    <xf numFmtId="0" fontId="56" fillId="24" borderId="165" xfId="0" applyFont="1" applyFill="1" applyBorder="1" applyAlignment="1">
      <alignment horizontal="left" vertical="top" wrapText="1"/>
    </xf>
    <xf numFmtId="0" fontId="56" fillId="24" borderId="24" xfId="0" applyFont="1" applyFill="1" applyBorder="1" applyAlignment="1">
      <alignment vertical="top" wrapText="1"/>
    </xf>
    <xf numFmtId="0" fontId="56" fillId="24" borderId="24" xfId="0" applyFont="1" applyFill="1" applyBorder="1" applyAlignment="1">
      <alignment horizontal="left" vertical="top" wrapText="1"/>
    </xf>
    <xf numFmtId="165" fontId="54" fillId="0" borderId="203" xfId="0" applyNumberFormat="1" applyFont="1" applyBorder="1" applyAlignment="1">
      <alignment horizontal="center" vertical="center" wrapText="1"/>
    </xf>
    <xf numFmtId="0" fontId="56" fillId="36" borderId="0" xfId="0" applyFont="1" applyFill="1" applyAlignment="1">
      <alignment vertical="top" wrapText="1"/>
    </xf>
    <xf numFmtId="0" fontId="51" fillId="36" borderId="0" xfId="0" applyFont="1" applyFill="1" applyAlignment="1">
      <alignment horizontal="right" vertical="top"/>
    </xf>
    <xf numFmtId="0" fontId="56" fillId="36" borderId="24" xfId="0" applyFont="1" applyFill="1" applyBorder="1" applyAlignment="1">
      <alignment horizontal="left" vertical="top" wrapText="1"/>
    </xf>
    <xf numFmtId="0" fontId="51" fillId="36" borderId="24" xfId="0" applyFont="1" applyFill="1" applyBorder="1" applyAlignment="1">
      <alignment horizontal="right" vertical="top"/>
    </xf>
    <xf numFmtId="0" fontId="56" fillId="36" borderId="24" xfId="0" applyFont="1" applyFill="1" applyBorder="1" applyAlignment="1">
      <alignment vertical="top" wrapText="1"/>
    </xf>
    <xf numFmtId="165" fontId="51" fillId="36" borderId="64" xfId="0" applyNumberFormat="1" applyFont="1" applyFill="1" applyBorder="1" applyAlignment="1">
      <alignment horizontal="right" vertical="top" wrapText="1"/>
    </xf>
    <xf numFmtId="0" fontId="56" fillId="0" borderId="165" xfId="0" applyFont="1" applyBorder="1" applyAlignment="1">
      <alignment horizontal="left" vertical="top" wrapText="1"/>
    </xf>
    <xf numFmtId="0" fontId="56" fillId="0" borderId="24" xfId="0" applyFont="1" applyBorder="1" applyAlignment="1">
      <alignment vertical="top" wrapText="1"/>
    </xf>
    <xf numFmtId="6" fontId="51" fillId="36" borderId="64" xfId="0" applyNumberFormat="1" applyFont="1" applyFill="1" applyBorder="1" applyAlignment="1">
      <alignment horizontal="right" vertical="top" wrapText="1"/>
    </xf>
    <xf numFmtId="0" fontId="56" fillId="21" borderId="0" xfId="0" applyFont="1" applyFill="1" applyAlignment="1">
      <alignment vertical="top" wrapText="1"/>
    </xf>
    <xf numFmtId="0" fontId="51" fillId="21" borderId="0" xfId="0" applyFont="1" applyFill="1" applyAlignment="1">
      <alignment horizontal="right" vertical="top"/>
    </xf>
    <xf numFmtId="0" fontId="56" fillId="21" borderId="24" xfId="0" applyFont="1" applyFill="1" applyBorder="1" applyAlignment="1">
      <alignment horizontal="left" vertical="top" wrapText="1"/>
    </xf>
    <xf numFmtId="0" fontId="51" fillId="21" borderId="24" xfId="0" applyFont="1" applyFill="1" applyBorder="1" applyAlignment="1">
      <alignment horizontal="right" vertical="top"/>
    </xf>
    <xf numFmtId="0" fontId="56" fillId="21" borderId="24" xfId="0" applyFont="1" applyFill="1" applyBorder="1" applyAlignment="1">
      <alignment vertical="top" wrapText="1"/>
    </xf>
    <xf numFmtId="165" fontId="51" fillId="21" borderId="24" xfId="0" applyNumberFormat="1" applyFont="1" applyFill="1" applyBorder="1" applyAlignment="1">
      <alignment horizontal="right" vertical="top" wrapText="1"/>
    </xf>
    <xf numFmtId="0" fontId="56" fillId="21" borderId="24" xfId="0" applyFont="1" applyFill="1" applyBorder="1" applyAlignment="1">
      <alignment horizontal="right" vertical="top" wrapText="1"/>
    </xf>
    <xf numFmtId="165" fontId="51" fillId="21" borderId="64" xfId="0" applyNumberFormat="1" applyFont="1" applyFill="1" applyBorder="1" applyAlignment="1">
      <alignment horizontal="right" vertical="top" wrapText="1"/>
    </xf>
    <xf numFmtId="6" fontId="51" fillId="21" borderId="197" xfId="0" applyNumberFormat="1" applyFont="1" applyFill="1" applyBorder="1" applyAlignment="1">
      <alignment horizontal="right" vertical="top" wrapText="1"/>
    </xf>
    <xf numFmtId="6" fontId="51" fillId="21" borderId="197" xfId="0" applyNumberFormat="1" applyFont="1" applyFill="1" applyBorder="1" applyAlignment="1">
      <alignment vertical="top" wrapText="1"/>
    </xf>
    <xf numFmtId="0" fontId="52" fillId="0" borderId="188"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17" xfId="0" applyFont="1" applyBorder="1" applyAlignment="1">
      <alignment horizontal="center" vertical="center" wrapText="1"/>
    </xf>
    <xf numFmtId="0" fontId="52" fillId="0" borderId="190" xfId="0" applyFont="1" applyBorder="1" applyAlignment="1">
      <alignment horizontal="center" vertical="center" wrapText="1"/>
    </xf>
    <xf numFmtId="0" fontId="52" fillId="10" borderId="188" xfId="0" applyFont="1" applyFill="1" applyBorder="1" applyAlignment="1">
      <alignment horizontal="center" vertical="center" wrapText="1"/>
    </xf>
    <xf numFmtId="0" fontId="38" fillId="10" borderId="0" xfId="0" applyFont="1" applyFill="1" applyAlignment="1">
      <alignment horizontal="center" vertical="center" wrapText="1"/>
    </xf>
    <xf numFmtId="165" fontId="40" fillId="0" borderId="0" xfId="0" applyNumberFormat="1" applyFont="1" applyAlignment="1">
      <alignment horizontal="left" vertical="top" wrapText="1"/>
    </xf>
    <xf numFmtId="165" fontId="38" fillId="0" borderId="0" xfId="0" applyNumberFormat="1" applyFont="1" applyAlignment="1">
      <alignment horizontal="center" vertical="center" wrapText="1"/>
    </xf>
    <xf numFmtId="164" fontId="38" fillId="0" borderId="0" xfId="0" applyNumberFormat="1" applyFont="1" applyAlignment="1">
      <alignment horizontal="center" vertical="center" wrapText="1"/>
    </xf>
    <xf numFmtId="166" fontId="38" fillId="0" borderId="0" xfId="0" applyNumberFormat="1" applyFont="1" applyAlignment="1">
      <alignment horizontal="center" vertical="center" wrapText="1"/>
    </xf>
    <xf numFmtId="6" fontId="38" fillId="0" borderId="0" xfId="0" applyNumberFormat="1" applyFont="1" applyAlignment="1">
      <alignment horizontal="center" vertical="center" wrapText="1"/>
    </xf>
    <xf numFmtId="8" fontId="38" fillId="0" borderId="0" xfId="0" applyNumberFormat="1" applyFont="1" applyAlignment="1">
      <alignment horizontal="center" vertical="center" wrapText="1"/>
    </xf>
    <xf numFmtId="10" fontId="40" fillId="0" borderId="0" xfId="0" applyNumberFormat="1" applyFont="1" applyAlignment="1">
      <alignment vertical="top" wrapText="1"/>
    </xf>
    <xf numFmtId="0" fontId="38" fillId="9" borderId="0" xfId="0" applyFont="1" applyFill="1" applyAlignment="1">
      <alignment horizontal="center" vertical="center" wrapText="1"/>
    </xf>
    <xf numFmtId="0" fontId="40" fillId="9" borderId="0" xfId="0" applyFont="1" applyFill="1" applyAlignment="1">
      <alignment vertical="top" wrapText="1"/>
    </xf>
    <xf numFmtId="6" fontId="38" fillId="9" borderId="0" xfId="0" applyNumberFormat="1" applyFont="1" applyFill="1" applyAlignment="1">
      <alignment horizontal="center" vertical="center" wrapText="1"/>
    </xf>
    <xf numFmtId="0" fontId="40" fillId="10" borderId="0" xfId="0" applyFont="1" applyFill="1" applyAlignment="1">
      <alignment vertical="top" wrapText="1"/>
    </xf>
    <xf numFmtId="0" fontId="52" fillId="0" borderId="207" xfId="0" applyFont="1" applyBorder="1" applyAlignment="1">
      <alignment horizontal="center" vertical="center" wrapText="1"/>
    </xf>
    <xf numFmtId="0" fontId="52" fillId="10" borderId="207" xfId="0" applyFont="1" applyFill="1" applyBorder="1" applyAlignment="1">
      <alignment horizontal="center" vertical="center" wrapText="1"/>
    </xf>
    <xf numFmtId="2" fontId="52" fillId="0" borderId="0" xfId="0" applyNumberFormat="1" applyFont="1" applyAlignment="1">
      <alignment horizontal="center" vertical="center" wrapText="1"/>
    </xf>
    <xf numFmtId="0" fontId="40" fillId="11" borderId="140" xfId="0" applyFont="1" applyFill="1" applyBorder="1" applyAlignment="1">
      <alignment vertical="top" wrapText="1"/>
    </xf>
    <xf numFmtId="0" fontId="52" fillId="0" borderId="208" xfId="0" applyFont="1" applyBorder="1" applyAlignment="1">
      <alignment horizontal="center" vertical="center" wrapText="1"/>
    </xf>
    <xf numFmtId="0" fontId="52" fillId="0" borderId="209" xfId="0" applyFont="1" applyBorder="1" applyAlignment="1">
      <alignment horizontal="center" vertical="center" wrapText="1"/>
    </xf>
    <xf numFmtId="0" fontId="52" fillId="0" borderId="211" xfId="0" applyFont="1" applyBorder="1" applyAlignment="1">
      <alignment horizontal="center" vertical="center" wrapText="1"/>
    </xf>
    <xf numFmtId="0" fontId="52" fillId="0" borderId="212" xfId="0" applyFont="1" applyBorder="1" applyAlignment="1">
      <alignment horizontal="center" vertical="center" wrapText="1"/>
    </xf>
    <xf numFmtId="0" fontId="52" fillId="0" borderId="218" xfId="0" applyFont="1" applyBorder="1" applyAlignment="1">
      <alignment horizontal="center" vertical="center" wrapText="1"/>
    </xf>
    <xf numFmtId="0" fontId="40" fillId="0" borderId="33" xfId="0" applyFont="1" applyBorder="1" applyAlignment="1">
      <alignment vertical="top" wrapText="1"/>
    </xf>
    <xf numFmtId="0" fontId="40" fillId="25" borderId="32" xfId="0" applyFont="1" applyFill="1" applyBorder="1" applyAlignment="1">
      <alignment vertical="top" wrapText="1"/>
    </xf>
    <xf numFmtId="0" fontId="40" fillId="25" borderId="2" xfId="0" applyFont="1" applyFill="1" applyBorder="1" applyAlignment="1">
      <alignment vertical="top" wrapText="1"/>
    </xf>
    <xf numFmtId="3" fontId="38" fillId="0" borderId="3" xfId="0" applyNumberFormat="1" applyFont="1" applyBorder="1" applyAlignment="1">
      <alignment horizontal="center" vertical="center" wrapText="1"/>
    </xf>
    <xf numFmtId="0" fontId="40" fillId="0" borderId="9" xfId="0" applyFont="1" applyBorder="1" applyAlignment="1">
      <alignment horizontal="center" vertical="center" textRotation="180" wrapText="1"/>
    </xf>
    <xf numFmtId="0" fontId="40" fillId="0" borderId="10" xfId="0" applyFont="1" applyBorder="1" applyAlignment="1">
      <alignment horizontal="center" vertical="center" textRotation="180" wrapText="1"/>
    </xf>
    <xf numFmtId="8" fontId="40" fillId="0" borderId="3" xfId="0" applyNumberFormat="1" applyFont="1" applyBorder="1" applyAlignment="1">
      <alignment horizontal="center" vertical="center" wrapText="1"/>
    </xf>
    <xf numFmtId="0" fontId="38" fillId="0" borderId="45" xfId="0" applyFont="1" applyBorder="1" applyAlignment="1">
      <alignment horizontal="center" vertical="center" wrapText="1"/>
    </xf>
    <xf numFmtId="8" fontId="38" fillId="0" borderId="8" xfId="0" applyNumberFormat="1" applyFont="1" applyBorder="1" applyAlignment="1">
      <alignment horizontal="center" vertical="center" wrapText="1"/>
    </xf>
    <xf numFmtId="165" fontId="38" fillId="0" borderId="46" xfId="0" applyNumberFormat="1" applyFont="1" applyBorder="1" applyAlignment="1">
      <alignment horizontal="center" vertical="center" wrapText="1"/>
    </xf>
    <xf numFmtId="6" fontId="40" fillId="0" borderId="10" xfId="0" applyNumberFormat="1" applyFont="1" applyBorder="1" applyAlignment="1">
      <alignment horizontal="center" vertical="center" wrapText="1"/>
    </xf>
    <xf numFmtId="0" fontId="40" fillId="0" borderId="32" xfId="0" applyFont="1" applyBorder="1" applyAlignment="1">
      <alignment vertical="top" textRotation="180" wrapText="1"/>
    </xf>
    <xf numFmtId="6" fontId="38" fillId="0" borderId="10" xfId="0" applyNumberFormat="1" applyFont="1" applyBorder="1" applyAlignment="1">
      <alignment horizontal="center" vertical="center" wrapText="1"/>
    </xf>
    <xf numFmtId="6" fontId="40" fillId="0" borderId="18" xfId="0" applyNumberFormat="1" applyFont="1" applyBorder="1" applyAlignment="1">
      <alignment horizontal="center" vertical="center" wrapText="1"/>
    </xf>
    <xf numFmtId="0" fontId="40" fillId="25" borderId="40" xfId="0" applyFont="1" applyFill="1" applyBorder="1" applyAlignment="1">
      <alignment vertical="top" wrapText="1"/>
    </xf>
    <xf numFmtId="6" fontId="40" fillId="0" borderId="16" xfId="0" applyNumberFormat="1" applyFont="1" applyBorder="1" applyAlignment="1">
      <alignment horizontal="center" vertical="center" wrapText="1"/>
    </xf>
    <xf numFmtId="6" fontId="40" fillId="0" borderId="0" xfId="0" applyNumberFormat="1" applyFont="1" applyAlignment="1">
      <alignment horizontal="center" vertical="center" wrapText="1"/>
    </xf>
    <xf numFmtId="0" fontId="40" fillId="0" borderId="47" xfId="0" applyFont="1" applyBorder="1" applyAlignment="1">
      <alignment horizontal="center" vertical="center" wrapText="1"/>
    </xf>
    <xf numFmtId="6" fontId="38" fillId="0" borderId="9" xfId="0" applyNumberFormat="1" applyFont="1" applyBorder="1" applyAlignment="1">
      <alignment horizontal="center" vertical="center" wrapText="1"/>
    </xf>
    <xf numFmtId="6" fontId="38" fillId="36" borderId="119" xfId="0" applyNumberFormat="1" applyFont="1" applyFill="1" applyBorder="1" applyAlignment="1">
      <alignment horizontal="center" vertical="center" wrapText="1"/>
    </xf>
    <xf numFmtId="6" fontId="38" fillId="0" borderId="117" xfId="0" applyNumberFormat="1" applyFont="1" applyBorder="1" applyAlignment="1">
      <alignment horizontal="center" vertical="center" wrapText="1"/>
    </xf>
    <xf numFmtId="6" fontId="38" fillId="0" borderId="115" xfId="0" applyNumberFormat="1" applyFont="1" applyBorder="1" applyAlignment="1">
      <alignment horizontal="center" vertical="center" wrapText="1"/>
    </xf>
    <xf numFmtId="0" fontId="40" fillId="0" borderId="120" xfId="0" applyFont="1" applyBorder="1" applyAlignment="1">
      <alignment horizontal="center" vertical="center" wrapText="1"/>
    </xf>
    <xf numFmtId="0" fontId="52" fillId="0" borderId="193" xfId="0" applyFont="1" applyBorder="1" applyAlignment="1">
      <alignment horizontal="center" vertical="center" wrapText="1"/>
    </xf>
    <xf numFmtId="0" fontId="54" fillId="0" borderId="193" xfId="0" applyFont="1" applyBorder="1" applyAlignment="1">
      <alignment horizontal="center" vertical="center" wrapText="1"/>
    </xf>
    <xf numFmtId="6" fontId="38" fillId="36" borderId="10" xfId="0" applyNumberFormat="1" applyFont="1" applyFill="1" applyBorder="1" applyAlignment="1">
      <alignment horizontal="center" vertical="center" wrapText="1"/>
    </xf>
    <xf numFmtId="6" fontId="38" fillId="36" borderId="0" xfId="0" applyNumberFormat="1" applyFont="1" applyFill="1" applyAlignment="1">
      <alignment horizontal="center" vertical="center" wrapText="1"/>
    </xf>
    <xf numFmtId="0" fontId="38" fillId="36" borderId="219" xfId="0" applyFont="1" applyFill="1" applyBorder="1" applyAlignment="1">
      <alignment horizontal="center" vertical="center" wrapText="1"/>
    </xf>
    <xf numFmtId="3" fontId="38" fillId="36" borderId="163" xfId="0" applyNumberFormat="1" applyFont="1" applyFill="1" applyBorder="1" applyAlignment="1">
      <alignment horizontal="center" vertical="center" wrapText="1"/>
    </xf>
    <xf numFmtId="0" fontId="38" fillId="36" borderId="163" xfId="0" applyFont="1" applyFill="1" applyBorder="1" applyAlignment="1">
      <alignment horizontal="center" vertical="center" wrapText="1"/>
    </xf>
    <xf numFmtId="0" fontId="40" fillId="11" borderId="160" xfId="0" applyFont="1" applyFill="1" applyBorder="1" applyAlignment="1">
      <alignment vertical="top" wrapText="1"/>
    </xf>
    <xf numFmtId="0" fontId="38" fillId="11" borderId="159" xfId="0" applyFont="1" applyFill="1" applyBorder="1" applyAlignment="1">
      <alignment horizontal="center" vertical="center" wrapText="1"/>
    </xf>
    <xf numFmtId="0" fontId="56" fillId="0" borderId="65" xfId="0" applyFont="1" applyBorder="1" applyAlignment="1">
      <alignment horizontal="left" vertical="top" wrapText="1"/>
    </xf>
    <xf numFmtId="165" fontId="51" fillId="26" borderId="64" xfId="0" applyNumberFormat="1" applyFont="1" applyFill="1" applyBorder="1" applyAlignment="1">
      <alignment horizontal="right" vertical="top" wrapText="1"/>
    </xf>
    <xf numFmtId="0" fontId="56" fillId="24" borderId="64" xfId="0" applyFont="1" applyFill="1" applyBorder="1" applyAlignment="1">
      <alignment horizontal="left" vertical="top" wrapText="1"/>
    </xf>
    <xf numFmtId="0" fontId="56" fillId="0" borderId="52" xfId="0" applyFont="1" applyBorder="1" applyAlignment="1">
      <alignment vertical="top" wrapText="1"/>
    </xf>
    <xf numFmtId="6" fontId="51" fillId="36" borderId="64" xfId="0" applyNumberFormat="1" applyFont="1" applyFill="1" applyBorder="1" applyAlignment="1">
      <alignment vertical="top" wrapText="1"/>
    </xf>
    <xf numFmtId="0" fontId="40" fillId="29" borderId="2" xfId="0" applyFont="1" applyFill="1" applyBorder="1" applyAlignment="1">
      <alignment vertical="top" wrapText="1"/>
    </xf>
    <xf numFmtId="0" fontId="40" fillId="30" borderId="2" xfId="0" applyFont="1" applyFill="1" applyBorder="1" applyAlignment="1">
      <alignment vertical="center" wrapText="1"/>
    </xf>
    <xf numFmtId="0" fontId="38" fillId="27" borderId="71" xfId="0" applyFont="1" applyFill="1" applyBorder="1" applyAlignment="1" applyProtection="1">
      <alignment vertical="center" wrapText="1"/>
      <protection locked="0"/>
    </xf>
    <xf numFmtId="0" fontId="38" fillId="27" borderId="83" xfId="0" applyFont="1" applyFill="1" applyBorder="1" applyAlignment="1" applyProtection="1">
      <alignment vertical="center" wrapText="1"/>
      <protection locked="0"/>
    </xf>
    <xf numFmtId="0" fontId="55" fillId="27" borderId="8" xfId="0" applyFont="1" applyFill="1" applyBorder="1" applyAlignment="1" applyProtection="1">
      <alignment horizontal="center" vertical="center" wrapText="1"/>
      <protection locked="0"/>
    </xf>
    <xf numFmtId="0" fontId="55" fillId="27" borderId="46" xfId="0" applyFont="1" applyFill="1" applyBorder="1" applyAlignment="1" applyProtection="1">
      <alignment horizontal="center" vertical="center" wrapText="1"/>
      <protection locked="0"/>
    </xf>
    <xf numFmtId="6" fontId="38" fillId="27" borderId="6" xfId="0" applyNumberFormat="1" applyFont="1" applyFill="1" applyBorder="1" applyAlignment="1">
      <alignment horizontal="center" vertical="center" wrapText="1"/>
    </xf>
    <xf numFmtId="0" fontId="40" fillId="0" borderId="141" xfId="0" applyFont="1" applyBorder="1" applyAlignment="1">
      <alignment vertical="top" wrapText="1"/>
    </xf>
    <xf numFmtId="0" fontId="40" fillId="0" borderId="142" xfId="0" applyFont="1" applyBorder="1" applyAlignment="1">
      <alignment vertical="top" wrapText="1"/>
    </xf>
    <xf numFmtId="0" fontId="38" fillId="36" borderId="18" xfId="0" applyFont="1" applyFill="1" applyBorder="1" applyAlignment="1">
      <alignment horizontal="center" vertical="center" wrapText="1"/>
    </xf>
    <xf numFmtId="0" fontId="38" fillId="36" borderId="0" xfId="0" applyFont="1" applyFill="1" applyAlignment="1">
      <alignment horizontal="center" vertical="center" wrapText="1"/>
    </xf>
    <xf numFmtId="0" fontId="38" fillId="36" borderId="6" xfId="0" applyFont="1" applyFill="1" applyBorder="1" applyAlignment="1">
      <alignment horizontal="center" vertical="center" wrapText="1"/>
    </xf>
    <xf numFmtId="0" fontId="38" fillId="36" borderId="5" xfId="0" applyFont="1" applyFill="1" applyBorder="1" applyAlignment="1">
      <alignment horizontal="center" vertical="center" wrapText="1"/>
    </xf>
    <xf numFmtId="0" fontId="38" fillId="36" borderId="49" xfId="0" applyFont="1" applyFill="1" applyBorder="1" applyAlignment="1">
      <alignment horizontal="center" vertical="center" wrapText="1"/>
    </xf>
    <xf numFmtId="0" fontId="40" fillId="0" borderId="33" xfId="0" applyFont="1" applyBorder="1" applyAlignment="1">
      <alignment horizontal="center" vertical="center" wrapText="1"/>
    </xf>
    <xf numFmtId="0" fontId="40" fillId="25" borderId="32" xfId="0" applyFont="1" applyFill="1" applyBorder="1" applyAlignment="1">
      <alignment horizontal="center" vertical="center" wrapText="1"/>
    </xf>
    <xf numFmtId="0" fontId="40" fillId="0" borderId="32" xfId="0" applyFont="1" applyBorder="1" applyAlignment="1">
      <alignment horizontal="center" vertical="center" wrapText="1"/>
    </xf>
    <xf numFmtId="0" fontId="40" fillId="0" borderId="34" xfId="0" applyFont="1" applyBorder="1" applyAlignment="1">
      <alignment horizontal="center" vertical="center" wrapText="1"/>
    </xf>
    <xf numFmtId="6" fontId="38" fillId="36" borderId="51" xfId="0" applyNumberFormat="1" applyFont="1" applyFill="1" applyBorder="1" applyAlignment="1">
      <alignment horizontal="center" vertical="center" wrapText="1"/>
    </xf>
    <xf numFmtId="0" fontId="54" fillId="0" borderId="204" xfId="0" applyFont="1" applyBorder="1" applyAlignment="1">
      <alignment horizontal="center" vertical="center" wrapText="1"/>
    </xf>
    <xf numFmtId="0" fontId="40" fillId="11" borderId="86" xfId="0" applyFont="1" applyFill="1" applyBorder="1" applyAlignment="1">
      <alignment vertical="top" wrapText="1"/>
    </xf>
    <xf numFmtId="0" fontId="40" fillId="32" borderId="0" xfId="0" applyFont="1" applyFill="1" applyAlignment="1">
      <alignment horizontal="center" vertical="center" wrapText="1"/>
    </xf>
    <xf numFmtId="0" fontId="52" fillId="0" borderId="220" xfId="0" applyFont="1" applyBorder="1" applyAlignment="1">
      <alignment horizontal="center" vertical="center" wrapText="1"/>
    </xf>
    <xf numFmtId="0" fontId="52" fillId="0" borderId="221" xfId="0" applyFont="1" applyBorder="1" applyAlignment="1">
      <alignment horizontal="center" vertical="center" wrapText="1"/>
    </xf>
    <xf numFmtId="0" fontId="38" fillId="36" borderId="83" xfId="0" applyFont="1" applyFill="1" applyBorder="1" applyAlignment="1">
      <alignment horizontal="center" vertical="center" wrapText="1"/>
    </xf>
    <xf numFmtId="0" fontId="38" fillId="36" borderId="46" xfId="0" applyFont="1" applyFill="1" applyBorder="1" applyAlignment="1">
      <alignment horizontal="center" vertical="center" wrapText="1"/>
    </xf>
    <xf numFmtId="0" fontId="38" fillId="11" borderId="36" xfId="0" applyFont="1" applyFill="1" applyBorder="1" applyAlignment="1">
      <alignment horizontal="center" vertical="center" wrapText="1"/>
    </xf>
    <xf numFmtId="6" fontId="38" fillId="0" borderId="45" xfId="0" applyNumberFormat="1" applyFont="1" applyBorder="1" applyAlignment="1">
      <alignment horizontal="center" vertical="center" wrapText="1"/>
    </xf>
    <xf numFmtId="6" fontId="38" fillId="0" borderId="46" xfId="0" applyNumberFormat="1" applyFont="1" applyBorder="1" applyAlignment="1">
      <alignment horizontal="center" vertical="center" wrapText="1"/>
    </xf>
    <xf numFmtId="6" fontId="40" fillId="0" borderId="37" xfId="0" applyNumberFormat="1" applyFont="1" applyBorder="1" applyAlignment="1">
      <alignment horizontal="center" vertical="center" wrapText="1"/>
    </xf>
    <xf numFmtId="0" fontId="38" fillId="0" borderId="46" xfId="0" applyFont="1" applyBorder="1" applyAlignment="1">
      <alignment horizontal="center" vertical="center" wrapText="1"/>
    </xf>
    <xf numFmtId="0" fontId="40" fillId="11" borderId="144" xfId="0" applyFont="1" applyFill="1" applyBorder="1" applyAlignment="1">
      <alignment vertical="top" wrapText="1"/>
    </xf>
    <xf numFmtId="165" fontId="51" fillId="24" borderId="16" xfId="0" applyNumberFormat="1" applyFont="1" applyFill="1" applyBorder="1" applyAlignment="1">
      <alignment horizontal="right" vertical="top" wrapText="1"/>
    </xf>
    <xf numFmtId="0" fontId="56" fillId="24" borderId="6" xfId="0" applyFont="1" applyFill="1" applyBorder="1" applyAlignment="1">
      <alignment vertical="top" wrapText="1"/>
    </xf>
    <xf numFmtId="0" fontId="56" fillId="0" borderId="16" xfId="0" applyFont="1" applyBorder="1" applyAlignment="1">
      <alignment vertical="top" wrapText="1"/>
    </xf>
    <xf numFmtId="0" fontId="56" fillId="0" borderId="6" xfId="0" applyFont="1" applyBorder="1" applyAlignment="1">
      <alignment vertical="top" wrapText="1"/>
    </xf>
    <xf numFmtId="165" fontId="51" fillId="26" borderId="25" xfId="0" applyNumberFormat="1" applyFont="1" applyFill="1" applyBorder="1" applyAlignment="1">
      <alignment horizontal="right" vertical="top" wrapText="1"/>
    </xf>
    <xf numFmtId="0" fontId="56" fillId="0" borderId="24" xfId="0" applyFont="1" applyBorder="1" applyAlignment="1">
      <alignment horizontal="left" vertical="top" wrapText="1"/>
    </xf>
    <xf numFmtId="0" fontId="52" fillId="29" borderId="0" xfId="0" applyFont="1" applyFill="1" applyAlignment="1">
      <alignment horizontal="center" vertical="center" wrapText="1"/>
    </xf>
    <xf numFmtId="0" fontId="40" fillId="11" borderId="4" xfId="0" applyFont="1" applyFill="1" applyBorder="1" applyAlignment="1">
      <alignment vertical="top" wrapText="1"/>
    </xf>
    <xf numFmtId="0" fontId="38" fillId="11" borderId="7" xfId="0" applyFont="1" applyFill="1" applyBorder="1" applyAlignment="1">
      <alignment horizontal="left" vertical="top"/>
    </xf>
    <xf numFmtId="6" fontId="38" fillId="26" borderId="48" xfId="0" applyNumberFormat="1" applyFont="1" applyFill="1" applyBorder="1" applyAlignment="1">
      <alignment horizontal="center" vertical="center" wrapText="1"/>
    </xf>
    <xf numFmtId="6" fontId="38" fillId="36" borderId="2" xfId="0" applyNumberFormat="1" applyFont="1" applyFill="1" applyBorder="1" applyAlignment="1">
      <alignment horizontal="center" vertical="center" wrapText="1"/>
    </xf>
    <xf numFmtId="6" fontId="38" fillId="36" borderId="97" xfId="0" applyNumberFormat="1" applyFont="1" applyFill="1" applyBorder="1" applyAlignment="1">
      <alignment horizontal="center" vertical="center" wrapText="1"/>
    </xf>
    <xf numFmtId="6" fontId="40" fillId="0" borderId="2" xfId="0" applyNumberFormat="1" applyFont="1" applyBorder="1" applyAlignment="1">
      <alignment horizontal="center" vertical="center" wrapText="1"/>
    </xf>
    <xf numFmtId="6" fontId="40" fillId="0" borderId="97" xfId="0" applyNumberFormat="1" applyFont="1" applyBorder="1" applyAlignment="1">
      <alignment horizontal="center" vertical="center" wrapText="1"/>
    </xf>
    <xf numFmtId="6" fontId="40" fillId="0" borderId="17" xfId="0" applyNumberFormat="1" applyFont="1" applyBorder="1" applyAlignment="1">
      <alignment horizontal="center" vertical="center" wrapText="1"/>
    </xf>
    <xf numFmtId="6" fontId="38" fillId="25" borderId="3" xfId="0" applyNumberFormat="1" applyFont="1" applyFill="1" applyBorder="1" applyAlignment="1">
      <alignment horizontal="center" vertical="center" wrapText="1"/>
    </xf>
    <xf numFmtId="0" fontId="40" fillId="0" borderId="6" xfId="0" applyFont="1" applyBorder="1" applyAlignment="1">
      <alignment vertical="top" wrapText="1"/>
    </xf>
    <xf numFmtId="0" fontId="56" fillId="26" borderId="66" xfId="0" applyFont="1" applyFill="1" applyBorder="1" applyAlignment="1">
      <alignment vertical="top" wrapText="1"/>
    </xf>
    <xf numFmtId="0" fontId="56" fillId="0" borderId="66" xfId="0" applyFont="1" applyBorder="1" applyAlignment="1">
      <alignment vertical="top" wrapText="1"/>
    </xf>
    <xf numFmtId="0" fontId="40" fillId="11" borderId="3" xfId="0" applyFont="1" applyFill="1" applyBorder="1" applyAlignment="1">
      <alignment horizontal="left" vertical="top" wrapText="1"/>
    </xf>
    <xf numFmtId="0" fontId="40" fillId="11" borderId="62" xfId="0" applyFont="1" applyFill="1" applyBorder="1" applyAlignment="1">
      <alignment vertical="top" wrapText="1"/>
    </xf>
    <xf numFmtId="0" fontId="40" fillId="27" borderId="45" xfId="0" applyFont="1" applyFill="1" applyBorder="1" applyAlignment="1">
      <alignment horizontal="center" vertical="center" wrapText="1"/>
    </xf>
    <xf numFmtId="0" fontId="40" fillId="27" borderId="5" xfId="0" applyFont="1" applyFill="1" applyBorder="1" applyAlignment="1">
      <alignment horizontal="left" vertical="top" wrapText="1"/>
    </xf>
    <xf numFmtId="0" fontId="40" fillId="27" borderId="155" xfId="0" applyFont="1" applyFill="1" applyBorder="1" applyAlignment="1">
      <alignment horizontal="left" vertical="top" wrapText="1"/>
    </xf>
    <xf numFmtId="0" fontId="40" fillId="27" borderId="46" xfId="0" applyFont="1" applyFill="1" applyBorder="1" applyAlignment="1">
      <alignment horizontal="center" vertical="center" wrapText="1"/>
    </xf>
    <xf numFmtId="0" fontId="40" fillId="27" borderId="142" xfId="0" applyFont="1" applyFill="1" applyBorder="1" applyAlignment="1">
      <alignment horizontal="left" vertical="top" wrapText="1"/>
    </xf>
    <xf numFmtId="0" fontId="40" fillId="11" borderId="1" xfId="0" applyFont="1" applyFill="1" applyBorder="1" applyAlignment="1">
      <alignment vertical="top"/>
    </xf>
    <xf numFmtId="0" fontId="40" fillId="11" borderId="36" xfId="0" applyFont="1" applyFill="1" applyBorder="1" applyAlignment="1">
      <alignment vertical="top"/>
    </xf>
    <xf numFmtId="0" fontId="40" fillId="29" borderId="3" xfId="0" applyFont="1" applyFill="1" applyBorder="1" applyAlignment="1">
      <alignment vertical="top" wrapText="1"/>
    </xf>
    <xf numFmtId="0" fontId="40" fillId="29" borderId="5" xfId="0" applyFont="1" applyFill="1" applyBorder="1" applyAlignment="1">
      <alignment vertical="top" wrapText="1"/>
    </xf>
    <xf numFmtId="6" fontId="38" fillId="36" borderId="115" xfId="0" applyNumberFormat="1" applyFont="1" applyFill="1" applyBorder="1" applyAlignment="1">
      <alignment horizontal="center" vertical="center" wrapText="1"/>
    </xf>
    <xf numFmtId="6" fontId="38" fillId="36" borderId="117" xfId="0" applyNumberFormat="1" applyFont="1" applyFill="1" applyBorder="1" applyAlignment="1">
      <alignment horizontal="center" vertical="center" wrapText="1"/>
    </xf>
    <xf numFmtId="8" fontId="38" fillId="0" borderId="116" xfId="0" applyNumberFormat="1" applyFont="1" applyBorder="1" applyAlignment="1">
      <alignment horizontal="center" vertical="center" wrapText="1"/>
    </xf>
    <xf numFmtId="6" fontId="38" fillId="36" borderId="120" xfId="0" applyNumberFormat="1" applyFont="1" applyFill="1" applyBorder="1" applyAlignment="1">
      <alignment horizontal="center" vertical="center" wrapText="1"/>
    </xf>
    <xf numFmtId="6" fontId="40" fillId="36" borderId="120" xfId="0" applyNumberFormat="1" applyFont="1" applyFill="1" applyBorder="1" applyAlignment="1">
      <alignment horizontal="center" vertical="center" wrapText="1"/>
    </xf>
    <xf numFmtId="0" fontId="52" fillId="0" borderId="222" xfId="0" applyFont="1" applyBorder="1" applyAlignment="1">
      <alignment horizontal="center" vertical="center" wrapText="1"/>
    </xf>
    <xf numFmtId="0" fontId="52" fillId="0" borderId="223" xfId="0" applyFont="1" applyBorder="1" applyAlignment="1">
      <alignment horizontal="center" vertical="center" wrapText="1"/>
    </xf>
    <xf numFmtId="0" fontId="38" fillId="36" borderId="127" xfId="0" applyFont="1" applyFill="1" applyBorder="1" applyAlignment="1">
      <alignment horizontal="center" vertical="center" wrapText="1"/>
    </xf>
    <xf numFmtId="0" fontId="40" fillId="0" borderId="2" xfId="0" applyFont="1" applyBorder="1" applyAlignment="1">
      <alignment horizontal="center" vertical="center" textRotation="180" wrapText="1"/>
    </xf>
    <xf numFmtId="0" fontId="40" fillId="0" borderId="33" xfId="0" applyFont="1" applyBorder="1" applyAlignment="1">
      <alignment horizontal="center" vertical="center" textRotation="180" wrapText="1"/>
    </xf>
    <xf numFmtId="6" fontId="38" fillId="36" borderId="46" xfId="0" applyNumberFormat="1" applyFont="1" applyFill="1" applyBorder="1" applyAlignment="1">
      <alignment horizontal="center" vertical="center" wrapText="1"/>
    </xf>
    <xf numFmtId="0" fontId="40" fillId="29" borderId="8" xfId="0" applyFont="1" applyFill="1" applyBorder="1" applyAlignment="1">
      <alignment vertical="top" wrapText="1"/>
    </xf>
    <xf numFmtId="0" fontId="40" fillId="29" borderId="1" xfId="0" applyFont="1" applyFill="1" applyBorder="1" applyAlignment="1">
      <alignment vertical="center" wrapText="1"/>
    </xf>
    <xf numFmtId="0" fontId="40" fillId="36" borderId="3" xfId="0" applyFont="1" applyFill="1" applyBorder="1" applyAlignment="1">
      <alignment horizontal="left" vertical="center" wrapText="1" indent="1"/>
    </xf>
    <xf numFmtId="0" fontId="40" fillId="36" borderId="9" xfId="0" applyFont="1" applyFill="1" applyBorder="1" applyAlignment="1">
      <alignment horizontal="left" vertical="center" wrapText="1" indent="1"/>
    </xf>
    <xf numFmtId="6" fontId="40" fillId="0" borderId="47" xfId="0" applyNumberFormat="1" applyFont="1" applyBorder="1" applyAlignment="1">
      <alignment horizontal="center" vertical="center" wrapText="1"/>
    </xf>
    <xf numFmtId="0" fontId="40" fillId="0" borderId="155" xfId="0" applyFont="1" applyBorder="1" applyAlignment="1">
      <alignment vertical="top" wrapText="1"/>
    </xf>
    <xf numFmtId="165" fontId="38" fillId="36" borderId="6" xfId="0" applyNumberFormat="1" applyFont="1" applyFill="1" applyBorder="1" applyAlignment="1">
      <alignment horizontal="left" vertical="center" wrapText="1" indent="3"/>
    </xf>
    <xf numFmtId="0" fontId="38" fillId="0" borderId="47" xfId="0" applyFont="1" applyBorder="1" applyAlignment="1">
      <alignment horizontal="center" vertical="center" wrapText="1"/>
    </xf>
    <xf numFmtId="0" fontId="38" fillId="27" borderId="84" xfId="0" applyFont="1" applyFill="1" applyBorder="1" applyAlignment="1">
      <alignment vertical="center" wrapText="1"/>
    </xf>
    <xf numFmtId="0" fontId="55" fillId="27" borderId="11" xfId="0" applyFont="1" applyFill="1" applyBorder="1" applyAlignment="1">
      <alignment horizontal="center" vertical="center" wrapText="1"/>
    </xf>
    <xf numFmtId="0" fontId="38" fillId="11" borderId="4" xfId="0" applyFont="1" applyFill="1" applyBorder="1" applyAlignment="1">
      <alignment vertical="top" wrapText="1"/>
    </xf>
    <xf numFmtId="0" fontId="40" fillId="27" borderId="9" xfId="0" applyFont="1" applyFill="1" applyBorder="1" applyAlignment="1">
      <alignment horizontal="center" vertical="center" wrapText="1"/>
    </xf>
    <xf numFmtId="0" fontId="40" fillId="36" borderId="50" xfId="0" applyFont="1" applyFill="1" applyBorder="1" applyAlignment="1">
      <alignment vertical="center" wrapText="1"/>
    </xf>
    <xf numFmtId="0" fontId="52" fillId="0" borderId="225" xfId="0" applyFont="1" applyBorder="1" applyAlignment="1">
      <alignment horizontal="center" vertical="center" wrapText="1"/>
    </xf>
    <xf numFmtId="0" fontId="38" fillId="11" borderId="4" xfId="0" applyFont="1" applyFill="1" applyBorder="1" applyAlignment="1">
      <alignment vertical="top"/>
    </xf>
    <xf numFmtId="0" fontId="38" fillId="27" borderId="129" xfId="0" applyFont="1" applyFill="1" applyBorder="1" applyAlignment="1">
      <alignment vertical="center" wrapText="1"/>
    </xf>
    <xf numFmtId="8" fontId="38" fillId="0" borderId="5" xfId="0" applyNumberFormat="1" applyFont="1" applyBorder="1" applyAlignment="1">
      <alignment horizontal="center" vertical="center" wrapText="1"/>
    </xf>
    <xf numFmtId="0" fontId="38" fillId="36" borderId="96" xfId="0" applyFont="1" applyFill="1" applyBorder="1" applyAlignment="1">
      <alignment horizontal="center" vertical="center" wrapText="1"/>
    </xf>
    <xf numFmtId="0" fontId="38" fillId="36" borderId="29" xfId="0" applyFont="1" applyFill="1" applyBorder="1" applyAlignment="1">
      <alignment horizontal="center" vertical="center" wrapText="1"/>
    </xf>
    <xf numFmtId="3" fontId="38" fillId="36" borderId="97" xfId="0" applyNumberFormat="1" applyFont="1" applyFill="1" applyBorder="1" applyAlignment="1">
      <alignment horizontal="center" vertical="center" wrapText="1"/>
    </xf>
    <xf numFmtId="3" fontId="38" fillId="36" borderId="17" xfId="0" applyNumberFormat="1" applyFont="1" applyFill="1" applyBorder="1" applyAlignment="1">
      <alignment horizontal="center" vertical="center" wrapText="1"/>
    </xf>
    <xf numFmtId="0" fontId="38" fillId="36" borderId="97" xfId="0" applyFont="1" applyFill="1" applyBorder="1" applyAlignment="1">
      <alignment horizontal="center" vertical="center" wrapText="1"/>
    </xf>
    <xf numFmtId="0" fontId="38" fillId="36" borderId="17" xfId="0" applyFont="1" applyFill="1" applyBorder="1" applyAlignment="1">
      <alignment horizontal="center" vertical="center" wrapText="1"/>
    </xf>
    <xf numFmtId="0" fontId="38" fillId="11" borderId="80" xfId="0" applyFont="1" applyFill="1" applyBorder="1" applyAlignment="1">
      <alignment horizontal="right" vertical="top" wrapText="1"/>
    </xf>
    <xf numFmtId="0" fontId="38" fillId="11" borderId="77" xfId="0" applyFont="1" applyFill="1" applyBorder="1" applyAlignment="1">
      <alignment horizontal="center" vertical="center" wrapText="1"/>
    </xf>
    <xf numFmtId="0" fontId="38" fillId="11" borderId="78" xfId="0" applyFont="1" applyFill="1" applyBorder="1" applyAlignment="1">
      <alignment horizontal="center" vertical="center" wrapText="1"/>
    </xf>
    <xf numFmtId="0" fontId="38" fillId="11" borderId="80" xfId="0" applyFont="1" applyFill="1" applyBorder="1" applyAlignment="1">
      <alignment horizontal="center" vertical="center" wrapText="1"/>
    </xf>
    <xf numFmtId="0" fontId="52" fillId="0" borderId="226" xfId="0" applyFont="1" applyBorder="1" applyAlignment="1">
      <alignment horizontal="center" vertical="center" wrapText="1"/>
    </xf>
    <xf numFmtId="0" fontId="40" fillId="0" borderId="0" xfId="0" applyFont="1" applyAlignment="1">
      <alignment vertical="center" wrapText="1"/>
    </xf>
    <xf numFmtId="0" fontId="40" fillId="36" borderId="50" xfId="0" applyFont="1" applyFill="1" applyBorder="1" applyAlignment="1">
      <alignment vertical="top" wrapText="1"/>
    </xf>
    <xf numFmtId="0" fontId="40" fillId="0" borderId="11" xfId="0" applyFont="1" applyBorder="1" applyAlignment="1">
      <alignment vertical="top" wrapText="1"/>
    </xf>
    <xf numFmtId="0" fontId="38" fillId="11" borderId="81" xfId="0" applyFont="1" applyFill="1" applyBorder="1" applyAlignment="1">
      <alignment horizontal="left" vertical="top"/>
    </xf>
    <xf numFmtId="0" fontId="38" fillId="11" borderId="81" xfId="0" applyFont="1" applyFill="1" applyBorder="1" applyAlignment="1">
      <alignment horizontal="center" vertical="center" wrapText="1"/>
    </xf>
    <xf numFmtId="0" fontId="56" fillId="36" borderId="66" xfId="0" applyFont="1" applyFill="1" applyBorder="1" applyAlignment="1">
      <alignment vertical="top" wrapText="1"/>
    </xf>
    <xf numFmtId="0" fontId="56" fillId="0" borderId="52" xfId="0" applyFont="1" applyBorder="1" applyAlignment="1">
      <alignment horizontal="left" vertical="top" wrapText="1"/>
    </xf>
    <xf numFmtId="6" fontId="38" fillId="12" borderId="6" xfId="0" applyNumberFormat="1" applyFont="1" applyFill="1" applyBorder="1" applyAlignment="1">
      <alignment horizontal="center" vertical="center" wrapText="1"/>
    </xf>
    <xf numFmtId="8" fontId="38" fillId="36" borderId="8" xfId="0" applyNumberFormat="1" applyFont="1" applyFill="1" applyBorder="1" applyAlignment="1">
      <alignment horizontal="center" vertical="center" wrapText="1"/>
    </xf>
    <xf numFmtId="0" fontId="40" fillId="11" borderId="80" xfId="0" applyFont="1" applyFill="1" applyBorder="1" applyAlignment="1">
      <alignment vertical="top" wrapText="1"/>
    </xf>
    <xf numFmtId="0" fontId="56" fillId="24" borderId="107" xfId="0" applyFont="1" applyFill="1" applyBorder="1" applyAlignment="1">
      <alignment vertical="top" wrapText="1"/>
    </xf>
    <xf numFmtId="0" fontId="56" fillId="0" borderId="66" xfId="0" applyFont="1" applyBorder="1" applyAlignment="1">
      <alignment horizontal="left" vertical="top" wrapText="1"/>
    </xf>
    <xf numFmtId="165" fontId="51" fillId="36" borderId="67" xfId="0" applyNumberFormat="1" applyFont="1" applyFill="1" applyBorder="1" applyAlignment="1">
      <alignment horizontal="right" vertical="top" wrapText="1"/>
    </xf>
    <xf numFmtId="0" fontId="56" fillId="0" borderId="88" xfId="0" applyFont="1" applyBorder="1" applyAlignment="1">
      <alignment horizontal="left" vertical="top" wrapText="1"/>
    </xf>
    <xf numFmtId="6" fontId="51" fillId="36" borderId="69" xfId="0" applyNumberFormat="1" applyFont="1" applyFill="1" applyBorder="1" applyAlignment="1">
      <alignment vertical="top" wrapText="1"/>
    </xf>
    <xf numFmtId="165" fontId="51" fillId="36" borderId="69" xfId="0" applyNumberFormat="1" applyFont="1" applyFill="1" applyBorder="1" applyAlignment="1">
      <alignment vertical="top" wrapText="1"/>
    </xf>
    <xf numFmtId="6" fontId="51" fillId="36" borderId="24" xfId="0" applyNumberFormat="1" applyFont="1" applyFill="1" applyBorder="1" applyAlignment="1">
      <alignment vertical="top" wrapText="1"/>
    </xf>
    <xf numFmtId="165" fontId="38" fillId="26" borderId="31" xfId="0" applyNumberFormat="1" applyFont="1" applyFill="1" applyBorder="1" applyAlignment="1">
      <alignment horizontal="center" vertical="center" textRotation="180" wrapText="1"/>
    </xf>
    <xf numFmtId="165" fontId="38" fillId="26" borderId="8" xfId="0" applyNumberFormat="1" applyFont="1" applyFill="1" applyBorder="1" applyAlignment="1">
      <alignment horizontal="center" vertical="center" textRotation="180" wrapText="1"/>
    </xf>
    <xf numFmtId="9" fontId="38" fillId="26" borderId="3" xfId="0" applyNumberFormat="1" applyFont="1" applyFill="1" applyBorder="1" applyAlignment="1">
      <alignment horizontal="center" vertical="center" wrapText="1"/>
    </xf>
    <xf numFmtId="9" fontId="38" fillId="26" borderId="8" xfId="0" applyNumberFormat="1" applyFont="1" applyFill="1" applyBorder="1" applyAlignment="1">
      <alignment horizontal="center" vertical="center" wrapText="1"/>
    </xf>
    <xf numFmtId="165" fontId="38" fillId="27" borderId="26" xfId="0" applyNumberFormat="1" applyFont="1" applyFill="1" applyBorder="1" applyAlignment="1">
      <alignment horizontal="center" vertical="center" wrapText="1"/>
    </xf>
    <xf numFmtId="165" fontId="38" fillId="27" borderId="1" xfId="0" applyNumberFormat="1" applyFont="1" applyFill="1" applyBorder="1" applyAlignment="1">
      <alignment horizontal="center" vertical="center" wrapText="1"/>
    </xf>
    <xf numFmtId="165" fontId="41" fillId="5" borderId="4" xfId="0" applyNumberFormat="1" applyFont="1" applyFill="1" applyBorder="1" applyAlignment="1">
      <alignment horizontal="center" vertical="center" wrapText="1"/>
    </xf>
    <xf numFmtId="165" fontId="41" fillId="5" borderId="7" xfId="0" applyNumberFormat="1" applyFont="1" applyFill="1" applyBorder="1" applyAlignment="1">
      <alignment horizontal="center" vertical="center" wrapText="1"/>
    </xf>
    <xf numFmtId="165" fontId="41" fillId="27" borderId="9" xfId="0" applyNumberFormat="1" applyFont="1" applyFill="1" applyBorder="1" applyAlignment="1">
      <alignment horizontal="center" vertical="center" wrapText="1"/>
    </xf>
    <xf numFmtId="165" fontId="41" fillId="27" borderId="10" xfId="0" applyNumberFormat="1" applyFont="1" applyFill="1" applyBorder="1" applyAlignment="1">
      <alignment horizontal="center" vertical="center" wrapText="1"/>
    </xf>
    <xf numFmtId="165" fontId="38" fillId="27" borderId="55" xfId="0" applyNumberFormat="1" applyFont="1" applyFill="1" applyBorder="1" applyAlignment="1">
      <alignment horizontal="center" vertical="center" wrapText="1"/>
    </xf>
    <xf numFmtId="165" fontId="38" fillId="27" borderId="11" xfId="0" applyNumberFormat="1" applyFont="1" applyFill="1" applyBorder="1" applyAlignment="1">
      <alignment horizontal="center" vertical="center" wrapText="1"/>
    </xf>
    <xf numFmtId="165" fontId="38" fillId="26" borderId="26" xfId="0" applyNumberFormat="1" applyFont="1" applyFill="1" applyBorder="1" applyAlignment="1">
      <alignment horizontal="center" vertical="center" wrapText="1"/>
    </xf>
    <xf numFmtId="165" fontId="38" fillId="26" borderId="1" xfId="0" applyNumberFormat="1" applyFont="1" applyFill="1" applyBorder="1" applyAlignment="1">
      <alignment horizontal="center" vertical="center" wrapText="1"/>
    </xf>
    <xf numFmtId="165" fontId="38" fillId="26" borderId="3" xfId="0" applyNumberFormat="1" applyFont="1" applyFill="1" applyBorder="1" applyAlignment="1">
      <alignment horizontal="center" vertical="center" wrapText="1"/>
    </xf>
    <xf numFmtId="165" fontId="38" fillId="26" borderId="8" xfId="0" applyNumberFormat="1" applyFont="1" applyFill="1" applyBorder="1" applyAlignment="1">
      <alignment horizontal="center" vertical="center" wrapText="1"/>
    </xf>
    <xf numFmtId="165" fontId="41" fillId="24" borderId="9" xfId="0" applyNumberFormat="1" applyFont="1" applyFill="1" applyBorder="1" applyAlignment="1">
      <alignment horizontal="center" vertical="center" wrapText="1"/>
    </xf>
    <xf numFmtId="165" fontId="41" fillId="24" borderId="10" xfId="0" applyNumberFormat="1" applyFont="1" applyFill="1" applyBorder="1" applyAlignment="1">
      <alignment horizontal="center" vertical="center" wrapText="1"/>
    </xf>
    <xf numFmtId="165" fontId="38" fillId="21" borderId="54" xfId="0" applyNumberFormat="1" applyFont="1" applyFill="1" applyBorder="1" applyAlignment="1">
      <alignment horizontal="center" vertical="center" wrapText="1"/>
    </xf>
    <xf numFmtId="165" fontId="38" fillId="21" borderId="58" xfId="0" applyNumberFormat="1" applyFont="1" applyFill="1" applyBorder="1" applyAlignment="1">
      <alignment horizontal="center" vertical="center" wrapText="1"/>
    </xf>
    <xf numFmtId="0" fontId="36" fillId="27" borderId="26" xfId="0" applyFont="1" applyFill="1" applyBorder="1" applyAlignment="1">
      <alignment horizontal="center" vertical="center" wrapText="1"/>
    </xf>
    <xf numFmtId="0" fontId="36" fillId="27" borderId="1" xfId="0" applyFont="1" applyFill="1" applyBorder="1" applyAlignment="1">
      <alignment horizontal="center" vertical="center" wrapText="1"/>
    </xf>
    <xf numFmtId="0" fontId="36" fillId="27" borderId="27" xfId="0" applyFont="1" applyFill="1" applyBorder="1" applyAlignment="1">
      <alignment horizontal="center" vertical="center" wrapText="1"/>
    </xf>
    <xf numFmtId="0" fontId="36" fillId="27" borderId="4" xfId="0" applyFont="1" applyFill="1" applyBorder="1" applyAlignment="1">
      <alignment horizontal="center" vertical="center" wrapText="1"/>
    </xf>
    <xf numFmtId="0" fontId="6" fillId="8" borderId="1" xfId="0" applyFont="1" applyFill="1" applyBorder="1" applyAlignment="1">
      <alignment horizontal="center" vertical="top" wrapText="1"/>
    </xf>
    <xf numFmtId="0" fontId="6" fillId="7" borderId="1" xfId="0" applyFont="1" applyFill="1" applyBorder="1" applyAlignment="1">
      <alignment horizontal="center" vertical="top" wrapText="1"/>
    </xf>
    <xf numFmtId="0" fontId="6" fillId="15" borderId="1" xfId="0" applyFont="1" applyFill="1" applyBorder="1" applyAlignment="1">
      <alignment horizontal="center" vertical="top" wrapText="1"/>
    </xf>
    <xf numFmtId="165" fontId="51" fillId="12" borderId="0" xfId="0" applyNumberFormat="1" applyFont="1" applyFill="1" applyAlignment="1">
      <alignment horizontal="right" vertical="center" wrapText="1"/>
    </xf>
    <xf numFmtId="165" fontId="51" fillId="12" borderId="24" xfId="0" applyNumberFormat="1" applyFont="1" applyFill="1" applyBorder="1" applyAlignment="1">
      <alignment horizontal="right" vertical="center" wrapText="1"/>
    </xf>
    <xf numFmtId="165" fontId="51" fillId="12" borderId="89" xfId="0" applyNumberFormat="1" applyFont="1" applyFill="1" applyBorder="1" applyAlignment="1">
      <alignment horizontal="right" vertical="center" wrapText="1"/>
    </xf>
    <xf numFmtId="165" fontId="51" fillId="12" borderId="65" xfId="0" applyNumberFormat="1" applyFont="1" applyFill="1" applyBorder="1" applyAlignment="1">
      <alignment horizontal="right" vertical="center" wrapText="1"/>
    </xf>
    <xf numFmtId="165" fontId="51" fillId="12" borderId="64" xfId="0" applyNumberFormat="1" applyFont="1" applyFill="1" applyBorder="1" applyAlignment="1">
      <alignment horizontal="right" vertical="center" wrapText="1"/>
    </xf>
    <xf numFmtId="6" fontId="40" fillId="0" borderId="3" xfId="0" applyNumberFormat="1" applyFont="1" applyBorder="1" applyAlignment="1">
      <alignment horizontal="left" vertical="top" wrapText="1"/>
    </xf>
    <xf numFmtId="6" fontId="40" fillId="0" borderId="5" xfId="0" applyNumberFormat="1" applyFont="1" applyBorder="1" applyAlignment="1">
      <alignment horizontal="left" vertical="top" wrapText="1"/>
    </xf>
    <xf numFmtId="6" fontId="40" fillId="0" borderId="8" xfId="0" applyNumberFormat="1" applyFont="1" applyBorder="1" applyAlignment="1">
      <alignment horizontal="left" vertical="top" wrapText="1"/>
    </xf>
    <xf numFmtId="0" fontId="38" fillId="0" borderId="132" xfId="0" applyFont="1" applyBorder="1" applyAlignment="1">
      <alignment horizontal="left" vertical="top" wrapText="1"/>
    </xf>
    <xf numFmtId="0" fontId="38" fillId="0" borderId="133" xfId="0" applyFont="1" applyBorder="1" applyAlignment="1">
      <alignment horizontal="left" vertical="top" wrapText="1"/>
    </xf>
    <xf numFmtId="165" fontId="38" fillId="21" borderId="152" xfId="0" applyNumberFormat="1" applyFont="1" applyFill="1" applyBorder="1" applyAlignment="1">
      <alignment horizontal="center" vertical="center" wrapText="1"/>
    </xf>
    <xf numFmtId="165" fontId="38" fillId="21" borderId="140" xfId="0" applyNumberFormat="1" applyFont="1" applyFill="1" applyBorder="1" applyAlignment="1">
      <alignment horizontal="center" vertical="center" wrapText="1"/>
    </xf>
    <xf numFmtId="0" fontId="52" fillId="0" borderId="202" xfId="0" applyFont="1" applyBorder="1" applyAlignment="1">
      <alignment horizontal="center" vertical="center" wrapText="1"/>
    </xf>
    <xf numFmtId="0" fontId="52" fillId="0" borderId="200" xfId="0" applyFont="1" applyBorder="1" applyAlignment="1">
      <alignment horizontal="center" vertical="center" wrapText="1"/>
    </xf>
    <xf numFmtId="0" fontId="52" fillId="0" borderId="138" xfId="0" applyFont="1" applyBorder="1" applyAlignment="1">
      <alignment horizontal="center" vertical="center" wrapText="1"/>
    </xf>
    <xf numFmtId="6" fontId="40" fillId="0" borderId="116" xfId="0" applyNumberFormat="1" applyFont="1" applyBorder="1" applyAlignment="1">
      <alignment horizontal="left" vertical="top" wrapText="1"/>
    </xf>
    <xf numFmtId="6" fontId="40" fillId="0" borderId="9" xfId="0" applyNumberFormat="1" applyFont="1" applyBorder="1" applyAlignment="1">
      <alignment horizontal="left" vertical="top" wrapText="1"/>
    </xf>
    <xf numFmtId="6" fontId="40" fillId="0" borderId="6" xfId="0" applyNumberFormat="1" applyFont="1" applyBorder="1" applyAlignment="1">
      <alignment horizontal="left" vertical="top" wrapText="1"/>
    </xf>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165" fontId="38" fillId="36" borderId="151" xfId="0" applyNumberFormat="1" applyFont="1" applyFill="1" applyBorder="1" applyAlignment="1">
      <alignment horizontal="center" vertical="center" wrapText="1"/>
    </xf>
    <xf numFmtId="165" fontId="38" fillId="36" borderId="1" xfId="0" applyNumberFormat="1" applyFont="1" applyFill="1" applyBorder="1" applyAlignment="1">
      <alignment horizontal="center" vertical="center" wrapText="1"/>
    </xf>
    <xf numFmtId="0" fontId="38" fillId="27" borderId="151" xfId="0" applyFont="1" applyFill="1" applyBorder="1" applyAlignment="1">
      <alignment horizontal="center" vertical="center" wrapText="1"/>
    </xf>
    <xf numFmtId="0" fontId="38" fillId="27" borderId="1" xfId="0" applyFont="1" applyFill="1" applyBorder="1" applyAlignment="1">
      <alignment horizontal="center" vertical="center" wrapText="1"/>
    </xf>
    <xf numFmtId="165" fontId="38" fillId="27" borderId="124" xfId="0" applyNumberFormat="1" applyFont="1" applyFill="1" applyBorder="1" applyAlignment="1">
      <alignment horizontal="center" vertical="center" wrapText="1"/>
    </xf>
    <xf numFmtId="165" fontId="38" fillId="27" borderId="4" xfId="0" applyNumberFormat="1" applyFont="1" applyFill="1" applyBorder="1" applyAlignment="1">
      <alignment horizontal="center" vertical="center" wrapText="1"/>
    </xf>
    <xf numFmtId="165" fontId="38" fillId="26" borderId="150" xfId="0" applyNumberFormat="1" applyFont="1" applyFill="1" applyBorder="1" applyAlignment="1">
      <alignment horizontal="center" vertical="center" wrapText="1"/>
    </xf>
    <xf numFmtId="165" fontId="38" fillId="26" borderId="62" xfId="0" applyNumberFormat="1" applyFont="1" applyFill="1" applyBorder="1" applyAlignment="1">
      <alignment horizontal="center" vertical="center" wrapText="1"/>
    </xf>
    <xf numFmtId="165" fontId="38" fillId="36" borderId="92" xfId="0" applyNumberFormat="1" applyFont="1" applyFill="1" applyBorder="1" applyAlignment="1">
      <alignment horizontal="center" vertical="center" wrapText="1"/>
    </xf>
    <xf numFmtId="165" fontId="38" fillId="36" borderId="93" xfId="0" applyNumberFormat="1" applyFont="1" applyFill="1" applyBorder="1" applyAlignment="1">
      <alignment horizontal="center" vertical="center" wrapText="1"/>
    </xf>
    <xf numFmtId="0" fontId="40" fillId="0" borderId="45" xfId="0" applyFont="1" applyBorder="1" applyAlignment="1">
      <alignment horizontal="left" vertical="top" wrapText="1"/>
    </xf>
    <xf numFmtId="0" fontId="40" fillId="0" borderId="47" xfId="0" applyFont="1" applyBorder="1" applyAlignment="1">
      <alignment horizontal="left" vertical="top" wrapText="1"/>
    </xf>
    <xf numFmtId="0" fontId="40" fillId="0" borderId="46" xfId="0" applyFont="1" applyBorder="1" applyAlignment="1">
      <alignment horizontal="left" vertical="top" wrapText="1"/>
    </xf>
    <xf numFmtId="0" fontId="38" fillId="0" borderId="168" xfId="0" applyFont="1" applyBorder="1" applyAlignment="1">
      <alignment horizontal="left" vertical="top" wrapText="1"/>
    </xf>
    <xf numFmtId="0" fontId="38" fillId="0" borderId="149" xfId="0" applyFont="1" applyBorder="1" applyAlignment="1">
      <alignment horizontal="left" vertical="top" wrapText="1"/>
    </xf>
    <xf numFmtId="0" fontId="38" fillId="27" borderId="153" xfId="0" applyFont="1" applyFill="1" applyBorder="1" applyAlignment="1">
      <alignment horizontal="center" vertical="center" wrapText="1"/>
    </xf>
    <xf numFmtId="0" fontId="38" fillId="27" borderId="131" xfId="0" applyFont="1" applyFill="1" applyBorder="1" applyAlignment="1">
      <alignment horizontal="center" vertical="center" wrapText="1"/>
    </xf>
    <xf numFmtId="0" fontId="40" fillId="0" borderId="120" xfId="0" applyFont="1" applyBorder="1" applyAlignment="1">
      <alignment horizontal="left" vertical="top" wrapText="1"/>
    </xf>
    <xf numFmtId="0" fontId="40" fillId="0" borderId="116" xfId="0" applyFont="1" applyBorder="1" applyAlignment="1">
      <alignment horizontal="left" vertical="top" wrapText="1"/>
    </xf>
    <xf numFmtId="0" fontId="40" fillId="0" borderId="5" xfId="0" applyFont="1" applyBorder="1" applyAlignment="1">
      <alignment horizontal="left" vertical="top" wrapText="1"/>
    </xf>
    <xf numFmtId="0" fontId="40" fillId="0" borderId="175" xfId="0" applyFont="1" applyBorder="1" applyAlignment="1">
      <alignment horizontal="left" vertical="top" wrapText="1"/>
    </xf>
    <xf numFmtId="0" fontId="55" fillId="27" borderId="171" xfId="0" applyFont="1" applyFill="1" applyBorder="1" applyAlignment="1">
      <alignment horizontal="center" wrapText="1"/>
    </xf>
    <xf numFmtId="0" fontId="55" fillId="27" borderId="38" xfId="0" applyFont="1" applyFill="1" applyBorder="1" applyAlignment="1">
      <alignment horizontal="center" wrapText="1"/>
    </xf>
    <xf numFmtId="6" fontId="40" fillId="0" borderId="45" xfId="0" applyNumberFormat="1" applyFont="1" applyBorder="1" applyAlignment="1">
      <alignment horizontal="left" vertical="top" wrapText="1"/>
    </xf>
    <xf numFmtId="6" fontId="40" fillId="0" borderId="46" xfId="0" applyNumberFormat="1" applyFont="1" applyBorder="1" applyAlignment="1">
      <alignment horizontal="left" vertical="top" wrapText="1"/>
    </xf>
    <xf numFmtId="6" fontId="40" fillId="0" borderId="11" xfId="0" applyNumberFormat="1" applyFont="1" applyBorder="1" applyAlignment="1">
      <alignment horizontal="left" vertical="top" wrapText="1"/>
    </xf>
    <xf numFmtId="0" fontId="52" fillId="0" borderId="201" xfId="0" applyFont="1" applyBorder="1" applyAlignment="1">
      <alignment horizontal="center" vertical="center" wrapText="1"/>
    </xf>
    <xf numFmtId="0" fontId="52" fillId="0" borderId="199" xfId="0" applyFont="1" applyBorder="1" applyAlignment="1">
      <alignment horizontal="center" vertical="center" wrapText="1"/>
    </xf>
    <xf numFmtId="6" fontId="40" fillId="0" borderId="2" xfId="0" applyNumberFormat="1" applyFont="1" applyBorder="1" applyAlignment="1">
      <alignment horizontal="left" vertical="top" wrapText="1"/>
    </xf>
    <xf numFmtId="6" fontId="40" fillId="0" borderId="17" xfId="0" applyNumberFormat="1" applyFont="1" applyBorder="1" applyAlignment="1">
      <alignment horizontal="left" vertical="top" wrapText="1"/>
    </xf>
    <xf numFmtId="0" fontId="40" fillId="0" borderId="11"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18" xfId="0" applyFont="1" applyBorder="1" applyAlignment="1">
      <alignment horizontal="center" vertical="center" wrapText="1"/>
    </xf>
    <xf numFmtId="0" fontId="40" fillId="29" borderId="3" xfId="0" applyFont="1" applyFill="1" applyBorder="1" applyAlignment="1">
      <alignment horizontal="left" vertical="top" wrapText="1"/>
    </xf>
    <xf numFmtId="0" fontId="40" fillId="29" borderId="8" xfId="0" applyFont="1" applyFill="1" applyBorder="1" applyAlignment="1">
      <alignment horizontal="left" vertical="top" wrapText="1"/>
    </xf>
    <xf numFmtId="165" fontId="38" fillId="27" borderId="151" xfId="0" applyNumberFormat="1" applyFont="1" applyFill="1" applyBorder="1" applyAlignment="1">
      <alignment horizontal="center" vertical="center" wrapText="1"/>
    </xf>
    <xf numFmtId="165" fontId="38" fillId="25" borderId="151" xfId="0" applyNumberFormat="1" applyFont="1" applyFill="1" applyBorder="1" applyAlignment="1">
      <alignment horizontal="center" vertical="center" wrapText="1"/>
    </xf>
    <xf numFmtId="165" fontId="38" fillId="25" borderId="1" xfId="0" applyNumberFormat="1" applyFont="1" applyFill="1" applyBorder="1" applyAlignment="1">
      <alignment horizontal="center" vertical="center" wrapText="1"/>
    </xf>
    <xf numFmtId="0" fontId="38" fillId="27" borderId="71" xfId="0" applyFont="1" applyFill="1" applyBorder="1" applyAlignment="1">
      <alignment horizontal="center" vertical="center" wrapText="1"/>
    </xf>
    <xf numFmtId="0" fontId="38" fillId="27" borderId="8" xfId="0" applyFont="1" applyFill="1" applyBorder="1" applyAlignment="1">
      <alignment horizontal="center" vertical="center" wrapText="1"/>
    </xf>
    <xf numFmtId="0" fontId="40" fillId="31" borderId="3" xfId="0" applyFont="1" applyFill="1" applyBorder="1" applyAlignment="1">
      <alignment horizontal="left" vertical="top" wrapText="1"/>
    </xf>
    <xf numFmtId="0" fontId="40" fillId="31" borderId="8" xfId="0" applyFont="1" applyFill="1" applyBorder="1" applyAlignment="1">
      <alignment horizontal="left" vertical="top" wrapText="1"/>
    </xf>
    <xf numFmtId="0" fontId="40" fillId="29" borderId="5" xfId="0" applyFont="1" applyFill="1" applyBorder="1" applyAlignment="1">
      <alignment horizontal="left" vertical="top" wrapText="1"/>
    </xf>
    <xf numFmtId="0" fontId="40" fillId="29" borderId="5" xfId="0" applyFont="1" applyFill="1" applyBorder="1" applyAlignment="1">
      <alignment horizontal="center" vertical="top" wrapText="1"/>
    </xf>
    <xf numFmtId="0" fontId="40" fillId="29" borderId="8" xfId="0" applyFont="1" applyFill="1" applyBorder="1" applyAlignment="1">
      <alignment horizontal="center" vertical="top" wrapText="1"/>
    </xf>
    <xf numFmtId="0" fontId="40" fillId="29" borderId="3" xfId="0" applyFont="1" applyFill="1" applyBorder="1" applyAlignment="1">
      <alignment horizontal="center" vertical="top" wrapText="1"/>
    </xf>
    <xf numFmtId="0" fontId="38" fillId="27" borderId="94" xfId="0" applyFont="1" applyFill="1" applyBorder="1" applyAlignment="1">
      <alignment horizontal="center" vertical="center" wrapText="1"/>
    </xf>
    <xf numFmtId="0" fontId="38" fillId="27" borderId="95" xfId="0" applyFont="1" applyFill="1" applyBorder="1" applyAlignment="1">
      <alignment horizontal="center" vertical="center" wrapText="1"/>
    </xf>
    <xf numFmtId="0" fontId="38" fillId="0" borderId="174" xfId="0" applyFont="1" applyBorder="1" applyAlignment="1">
      <alignment horizontal="left" vertical="top" wrapText="1"/>
    </xf>
    <xf numFmtId="0" fontId="38" fillId="27" borderId="134" xfId="0" applyFont="1" applyFill="1" applyBorder="1" applyAlignment="1">
      <alignment horizontal="center" vertical="center" wrapText="1"/>
    </xf>
    <xf numFmtId="0" fontId="38" fillId="27" borderId="135" xfId="0" applyFont="1" applyFill="1" applyBorder="1" applyAlignment="1">
      <alignment horizontal="center" vertical="center" wrapText="1"/>
    </xf>
    <xf numFmtId="6" fontId="40" fillId="0" borderId="0" xfId="0" applyNumberFormat="1" applyFont="1" applyAlignment="1">
      <alignment horizontal="left" vertical="top" wrapText="1"/>
    </xf>
    <xf numFmtId="0" fontId="38" fillId="27" borderId="28" xfId="0" applyFont="1" applyFill="1" applyBorder="1" applyAlignment="1">
      <alignment horizontal="center" vertical="center" wrapText="1"/>
    </xf>
    <xf numFmtId="0" fontId="38" fillId="27" borderId="12" xfId="0" applyFont="1" applyFill="1" applyBorder="1" applyAlignment="1">
      <alignment horizontal="center" vertical="center" wrapText="1"/>
    </xf>
    <xf numFmtId="165" fontId="38" fillId="27" borderId="28" xfId="0" applyNumberFormat="1" applyFont="1" applyFill="1" applyBorder="1" applyAlignment="1">
      <alignment horizontal="center" vertical="center" wrapText="1"/>
    </xf>
    <xf numFmtId="165" fontId="38" fillId="27" borderId="12" xfId="0" applyNumberFormat="1" applyFont="1" applyFill="1" applyBorder="1" applyAlignment="1">
      <alignment horizontal="center" vertical="center" wrapText="1"/>
    </xf>
    <xf numFmtId="165" fontId="38" fillId="21" borderId="145" xfId="0" applyNumberFormat="1" applyFont="1" applyFill="1" applyBorder="1" applyAlignment="1">
      <alignment horizontal="center" vertical="center" wrapText="1"/>
    </xf>
    <xf numFmtId="165" fontId="38" fillId="21" borderId="146" xfId="0" applyNumberFormat="1" applyFont="1" applyFill="1" applyBorder="1" applyAlignment="1">
      <alignment horizontal="center" vertical="center" wrapText="1"/>
    </xf>
    <xf numFmtId="165" fontId="38" fillId="26" borderId="100" xfId="0" applyNumberFormat="1" applyFont="1" applyFill="1" applyBorder="1" applyAlignment="1">
      <alignment horizontal="center" vertical="center" wrapText="1"/>
    </xf>
    <xf numFmtId="165" fontId="38" fillId="26" borderId="110" xfId="0" applyNumberFormat="1" applyFont="1" applyFill="1" applyBorder="1" applyAlignment="1">
      <alignment horizontal="center" vertical="center" wrapText="1"/>
    </xf>
    <xf numFmtId="0" fontId="38" fillId="36" borderId="92" xfId="0" applyFont="1" applyFill="1" applyBorder="1" applyAlignment="1">
      <alignment horizontal="center" vertical="center" wrapText="1"/>
    </xf>
    <xf numFmtId="0" fontId="38" fillId="36" borderId="93" xfId="0" applyFont="1" applyFill="1" applyBorder="1" applyAlignment="1">
      <alignment horizontal="center" vertical="center" wrapText="1"/>
    </xf>
    <xf numFmtId="0" fontId="38" fillId="36" borderId="170" xfId="0" applyFont="1" applyFill="1" applyBorder="1" applyAlignment="1">
      <alignment horizontal="center" vertical="center" wrapText="1"/>
    </xf>
    <xf numFmtId="0" fontId="38" fillId="36" borderId="158" xfId="0" applyFont="1" applyFill="1" applyBorder="1" applyAlignment="1">
      <alignment horizontal="center" vertical="center" wrapText="1"/>
    </xf>
    <xf numFmtId="0" fontId="38" fillId="27" borderId="29" xfId="0" applyFont="1" applyFill="1" applyBorder="1" applyAlignment="1">
      <alignment horizontal="center" vertical="center" wrapText="1"/>
    </xf>
    <xf numFmtId="0" fontId="38" fillId="27" borderId="17" xfId="0" applyFont="1" applyFill="1" applyBorder="1" applyAlignment="1">
      <alignment horizontal="center" vertical="center" wrapText="1"/>
    </xf>
    <xf numFmtId="0" fontId="38" fillId="27" borderId="90" xfId="0" applyFont="1" applyFill="1" applyBorder="1" applyAlignment="1">
      <alignment horizontal="center" vertical="center" wrapText="1"/>
    </xf>
    <xf numFmtId="0" fontId="38" fillId="27" borderId="91" xfId="0" applyFont="1" applyFill="1" applyBorder="1" applyAlignment="1">
      <alignment horizontal="center" vertical="center" wrapText="1"/>
    </xf>
    <xf numFmtId="165" fontId="38" fillId="25" borderId="90" xfId="0" applyNumberFormat="1" applyFont="1" applyFill="1" applyBorder="1" applyAlignment="1">
      <alignment horizontal="center" vertical="center" wrapText="1"/>
    </xf>
    <xf numFmtId="165" fontId="38" fillId="25" borderId="91" xfId="0" applyNumberFormat="1" applyFont="1" applyFill="1" applyBorder="1" applyAlignment="1">
      <alignment horizontal="center" vertical="center" wrapText="1"/>
    </xf>
    <xf numFmtId="165" fontId="38" fillId="26" borderId="63" xfId="0" applyNumberFormat="1" applyFont="1" applyFill="1" applyBorder="1" applyAlignment="1">
      <alignment horizontal="center" vertical="center" wrapText="1"/>
    </xf>
    <xf numFmtId="165" fontId="38" fillId="26" borderId="76" xfId="0" applyNumberFormat="1" applyFont="1" applyFill="1" applyBorder="1" applyAlignment="1">
      <alignment horizontal="center" vertical="center" wrapText="1"/>
    </xf>
    <xf numFmtId="0" fontId="40" fillId="0" borderId="6" xfId="0" applyFont="1" applyBorder="1" applyAlignment="1">
      <alignment horizontal="center" vertical="center" wrapText="1"/>
    </xf>
    <xf numFmtId="0" fontId="40" fillId="0" borderId="0" xfId="0" applyFont="1" applyAlignment="1">
      <alignment horizontal="center" vertical="center" wrapText="1"/>
    </xf>
    <xf numFmtId="0" fontId="40" fillId="0" borderId="16" xfId="0" applyFont="1" applyBorder="1" applyAlignment="1">
      <alignment horizontal="center" vertical="center" wrapText="1"/>
    </xf>
    <xf numFmtId="0" fontId="38" fillId="0" borderId="48" xfId="0" applyFont="1" applyBorder="1" applyAlignment="1">
      <alignment horizontal="left" vertical="top" wrapText="1"/>
    </xf>
    <xf numFmtId="0" fontId="38" fillId="0" borderId="50" xfId="0" applyFont="1" applyBorder="1" applyAlignment="1">
      <alignment horizontal="left" vertical="top" wrapText="1"/>
    </xf>
    <xf numFmtId="0" fontId="40" fillId="26" borderId="3" xfId="0" applyFont="1" applyFill="1" applyBorder="1" applyAlignment="1">
      <alignment horizontal="center" vertical="center" textRotation="180" wrapText="1"/>
    </xf>
    <xf numFmtId="0" fontId="40" fillId="26" borderId="8" xfId="0" applyFont="1" applyFill="1" applyBorder="1" applyAlignment="1">
      <alignment horizontal="center" vertical="center" textRotation="180" wrapText="1"/>
    </xf>
    <xf numFmtId="0" fontId="38" fillId="0" borderId="49" xfId="0" applyFont="1" applyBorder="1" applyAlignment="1">
      <alignment horizontal="left" vertical="top" wrapText="1"/>
    </xf>
    <xf numFmtId="0" fontId="40" fillId="26" borderId="5" xfId="0" applyFont="1" applyFill="1" applyBorder="1" applyAlignment="1">
      <alignment horizontal="center" vertical="center" textRotation="180" wrapText="1"/>
    </xf>
    <xf numFmtId="0" fontId="40" fillId="0" borderId="117" xfId="0" applyFont="1" applyBorder="1" applyAlignment="1">
      <alignment horizontal="center" vertical="center" wrapText="1"/>
    </xf>
    <xf numFmtId="0" fontId="40" fillId="0" borderId="118" xfId="0" applyFont="1" applyBorder="1" applyAlignment="1">
      <alignment horizontal="center" vertical="center" wrapText="1"/>
    </xf>
    <xf numFmtId="0" fontId="40" fillId="0" borderId="119" xfId="0" applyFont="1" applyBorder="1" applyAlignment="1">
      <alignment horizontal="center" vertical="center" wrapText="1"/>
    </xf>
    <xf numFmtId="0" fontId="38" fillId="0" borderId="115" xfId="0" applyFont="1" applyBorder="1" applyAlignment="1">
      <alignment horizontal="left" vertical="top" wrapText="1"/>
    </xf>
    <xf numFmtId="0" fontId="38" fillId="27" borderId="63" xfId="0" applyFont="1" applyFill="1" applyBorder="1" applyAlignment="1">
      <alignment horizontal="center" vertical="center" wrapText="1"/>
    </xf>
    <xf numFmtId="0" fontId="38" fillId="27" borderId="76" xfId="0" applyFont="1" applyFill="1" applyBorder="1" applyAlignment="1">
      <alignment horizontal="center" vertical="center" wrapText="1"/>
    </xf>
    <xf numFmtId="0" fontId="55" fillId="27" borderId="29" xfId="0" applyFont="1" applyFill="1" applyBorder="1" applyAlignment="1">
      <alignment horizontal="center" wrapText="1"/>
    </xf>
    <xf numFmtId="0" fontId="55" fillId="27" borderId="17" xfId="0" applyFont="1" applyFill="1" applyBorder="1" applyAlignment="1">
      <alignment horizontal="center" wrapText="1"/>
    </xf>
    <xf numFmtId="0" fontId="40" fillId="22" borderId="5" xfId="0" applyFont="1" applyFill="1" applyBorder="1" applyAlignment="1">
      <alignment horizontal="center" vertical="center" textRotation="180" wrapText="1"/>
    </xf>
    <xf numFmtId="0" fontId="40" fillId="22" borderId="8" xfId="0" applyFont="1" applyFill="1" applyBorder="1" applyAlignment="1">
      <alignment horizontal="center" vertical="center" textRotation="180" wrapText="1"/>
    </xf>
    <xf numFmtId="0" fontId="40" fillId="22" borderId="3" xfId="0" applyFont="1" applyFill="1" applyBorder="1" applyAlignment="1">
      <alignment horizontal="center" vertical="center" textRotation="180" wrapText="1"/>
    </xf>
    <xf numFmtId="0" fontId="40" fillId="0" borderId="5" xfId="0" applyFont="1" applyBorder="1" applyAlignment="1">
      <alignment horizontal="center" vertical="center" textRotation="180" wrapText="1"/>
    </xf>
    <xf numFmtId="0" fontId="57" fillId="0" borderId="3" xfId="1" applyFont="1" applyFill="1" applyBorder="1" applyAlignment="1">
      <alignment horizontal="left" vertical="top" wrapText="1"/>
    </xf>
    <xf numFmtId="0" fontId="38" fillId="25" borderId="3" xfId="0" applyFont="1" applyFill="1" applyBorder="1" applyAlignment="1">
      <alignment horizontal="center" vertical="center" textRotation="180" wrapText="1"/>
    </xf>
    <xf numFmtId="0" fontId="38" fillId="25" borderId="8" xfId="0" applyFont="1" applyFill="1" applyBorder="1" applyAlignment="1">
      <alignment horizontal="center" vertical="center" textRotation="180" wrapText="1"/>
    </xf>
    <xf numFmtId="0" fontId="40" fillId="0" borderId="3" xfId="0" applyFont="1" applyBorder="1" applyAlignment="1">
      <alignment horizontal="center" vertical="center" textRotation="180" wrapText="1"/>
    </xf>
    <xf numFmtId="0" fontId="40" fillId="0" borderId="116" xfId="0" applyFont="1" applyBorder="1" applyAlignment="1">
      <alignment horizontal="center" vertical="center" textRotation="180" wrapText="1"/>
    </xf>
    <xf numFmtId="0" fontId="40" fillId="0" borderId="8" xfId="0" applyFont="1" applyBorder="1" applyAlignment="1">
      <alignment horizontal="center" vertical="center" textRotation="180" wrapText="1"/>
    </xf>
    <xf numFmtId="0" fontId="38" fillId="36" borderId="75" xfId="0" applyFont="1" applyFill="1" applyBorder="1" applyAlignment="1">
      <alignment horizontal="center" vertical="center" wrapText="1"/>
    </xf>
    <xf numFmtId="0" fontId="38" fillId="36" borderId="36" xfId="0" applyFont="1" applyFill="1" applyBorder="1" applyAlignment="1">
      <alignment horizontal="center" vertical="center" wrapText="1"/>
    </xf>
    <xf numFmtId="165" fontId="38" fillId="26" borderId="70" xfId="0" applyNumberFormat="1" applyFont="1" applyFill="1" applyBorder="1" applyAlignment="1">
      <alignment horizontal="center" vertical="center" wrapText="1"/>
    </xf>
    <xf numFmtId="0" fontId="38" fillId="27" borderId="72" xfId="0" applyFont="1" applyFill="1" applyBorder="1" applyAlignment="1">
      <alignment horizontal="center" vertical="center" wrapText="1"/>
    </xf>
    <xf numFmtId="165" fontId="38" fillId="21" borderId="139" xfId="0" applyNumberFormat="1" applyFont="1" applyFill="1" applyBorder="1" applyAlignment="1">
      <alignment horizontal="center" vertical="center" wrapText="1"/>
    </xf>
    <xf numFmtId="165" fontId="38" fillId="36" borderId="72" xfId="0" applyNumberFormat="1" applyFont="1" applyFill="1" applyBorder="1" applyAlignment="1">
      <alignment horizontal="center" vertical="center" wrapText="1"/>
    </xf>
    <xf numFmtId="165" fontId="38" fillId="27" borderId="74" xfId="0" applyNumberFormat="1" applyFont="1" applyFill="1" applyBorder="1" applyAlignment="1">
      <alignment horizontal="center" vertical="center" wrapText="1"/>
    </xf>
    <xf numFmtId="0" fontId="38" fillId="27" borderId="130" xfId="0" applyFont="1" applyFill="1" applyBorder="1" applyAlignment="1">
      <alignment horizontal="center" vertical="center" wrapText="1"/>
    </xf>
    <xf numFmtId="165" fontId="38" fillId="25" borderId="72" xfId="0" applyNumberFormat="1" applyFont="1" applyFill="1" applyBorder="1" applyAlignment="1">
      <alignment horizontal="center" vertical="center" wrapText="1"/>
    </xf>
    <xf numFmtId="165" fontId="38" fillId="27" borderId="72" xfId="0" applyNumberFormat="1" applyFont="1" applyFill="1" applyBorder="1" applyAlignment="1">
      <alignment horizontal="center" vertical="center" wrapText="1"/>
    </xf>
    <xf numFmtId="0" fontId="38" fillId="27" borderId="70" xfId="0" applyFont="1" applyFill="1" applyBorder="1" applyAlignment="1">
      <alignment horizontal="center" vertical="center" wrapText="1"/>
    </xf>
    <xf numFmtId="0" fontId="38" fillId="27" borderId="62" xfId="0" applyFont="1" applyFill="1" applyBorder="1" applyAlignment="1">
      <alignment horizontal="center" vertical="center" wrapText="1"/>
    </xf>
    <xf numFmtId="0" fontId="38" fillId="22" borderId="72" xfId="0" applyFont="1" applyFill="1" applyBorder="1" applyAlignment="1">
      <alignment horizontal="center" vertical="center" wrapText="1"/>
    </xf>
    <xf numFmtId="0" fontId="38" fillId="22" borderId="1" xfId="0" applyFont="1" applyFill="1" applyBorder="1" applyAlignment="1">
      <alignment horizontal="center" vertical="center" wrapText="1"/>
    </xf>
    <xf numFmtId="0" fontId="38" fillId="25" borderId="72" xfId="0" applyFont="1" applyFill="1" applyBorder="1" applyAlignment="1">
      <alignment horizontal="center" vertical="center" wrapText="1"/>
    </xf>
    <xf numFmtId="0" fontId="38" fillId="27" borderId="7" xfId="0" applyFont="1" applyFill="1" applyBorder="1" applyAlignment="1">
      <alignment horizontal="center" vertical="center" wrapText="1"/>
    </xf>
    <xf numFmtId="0" fontId="38" fillId="36" borderId="72" xfId="0" applyFont="1" applyFill="1" applyBorder="1" applyAlignment="1">
      <alignment horizontal="center" vertical="center" wrapText="1"/>
    </xf>
    <xf numFmtId="0" fontId="38" fillId="36" borderId="1" xfId="0" applyFont="1" applyFill="1" applyBorder="1" applyAlignment="1">
      <alignment horizontal="center" vertical="center" wrapText="1"/>
    </xf>
    <xf numFmtId="0" fontId="38" fillId="27" borderId="73" xfId="0" applyFont="1" applyFill="1" applyBorder="1" applyAlignment="1">
      <alignment horizontal="center" vertical="center" wrapText="1"/>
    </xf>
    <xf numFmtId="0" fontId="38" fillId="27" borderId="18" xfId="0" applyFont="1" applyFill="1" applyBorder="1" applyAlignment="1">
      <alignment horizontal="center" vertical="center" wrapText="1"/>
    </xf>
    <xf numFmtId="0" fontId="38" fillId="22" borderId="151" xfId="0" applyFont="1" applyFill="1" applyBorder="1" applyAlignment="1">
      <alignment horizontal="center" vertical="center" wrapText="1"/>
    </xf>
    <xf numFmtId="0" fontId="38" fillId="25" borderId="151" xfId="0" applyFont="1" applyFill="1" applyBorder="1" applyAlignment="1">
      <alignment horizontal="center" vertical="center" wrapText="1"/>
    </xf>
    <xf numFmtId="0" fontId="38" fillId="27" borderId="128" xfId="0" applyFont="1" applyFill="1" applyBorder="1" applyAlignment="1">
      <alignment horizontal="center" vertical="center" wrapText="1"/>
    </xf>
    <xf numFmtId="0" fontId="51" fillId="0" borderId="4" xfId="0" applyFont="1" applyBorder="1" applyAlignment="1">
      <alignment horizontal="left" vertical="top" wrapText="1"/>
    </xf>
    <xf numFmtId="0" fontId="51" fillId="0" borderId="12" xfId="0" applyFont="1" applyBorder="1" applyAlignment="1">
      <alignment horizontal="left" vertical="top" wrapText="1"/>
    </xf>
    <xf numFmtId="0" fontId="51" fillId="0" borderId="7" xfId="0" applyFont="1" applyBorder="1" applyAlignment="1">
      <alignment horizontal="left" vertical="top" wrapText="1"/>
    </xf>
    <xf numFmtId="0" fontId="38" fillId="27" borderId="150" xfId="0" applyFont="1" applyFill="1" applyBorder="1" applyAlignment="1">
      <alignment horizontal="center" vertical="center" wrapText="1"/>
    </xf>
    <xf numFmtId="0" fontId="40" fillId="31" borderId="5" xfId="0" applyFont="1" applyFill="1" applyBorder="1" applyAlignment="1">
      <alignment horizontal="left" vertical="top" wrapText="1"/>
    </xf>
    <xf numFmtId="6" fontId="40" fillId="0" borderId="117" xfId="0" applyNumberFormat="1" applyFont="1" applyBorder="1" applyAlignment="1">
      <alignment horizontal="left" vertical="top" wrapText="1"/>
    </xf>
    <xf numFmtId="0" fontId="38" fillId="25" borderId="11" xfId="0" applyFont="1" applyFill="1" applyBorder="1" applyAlignment="1">
      <alignment horizontal="center" vertical="center" wrapText="1"/>
    </xf>
    <xf numFmtId="0" fontId="38" fillId="25" borderId="17" xfId="0" applyFont="1" applyFill="1" applyBorder="1" applyAlignment="1">
      <alignment horizontal="center" vertical="center" wrapText="1"/>
    </xf>
    <xf numFmtId="0" fontId="38" fillId="25" borderId="18" xfId="0" applyFont="1" applyFill="1" applyBorder="1" applyAlignment="1">
      <alignment horizontal="center" vertical="center" wrapText="1"/>
    </xf>
    <xf numFmtId="0" fontId="40" fillId="29" borderId="16" xfId="0" applyFont="1" applyFill="1" applyBorder="1" applyAlignment="1">
      <alignment horizontal="left" vertical="top" wrapText="1"/>
    </xf>
    <xf numFmtId="0" fontId="40" fillId="27" borderId="11" xfId="0" applyFont="1" applyFill="1" applyBorder="1" applyAlignment="1">
      <alignment horizontal="center" vertical="center" wrapText="1"/>
    </xf>
    <xf numFmtId="0" fontId="40" fillId="27" borderId="17" xfId="0" applyFont="1" applyFill="1" applyBorder="1" applyAlignment="1">
      <alignment horizontal="center" vertical="center" wrapText="1"/>
    </xf>
    <xf numFmtId="0" fontId="40" fillId="27" borderId="18" xfId="0" applyFont="1" applyFill="1" applyBorder="1" applyAlignment="1">
      <alignment horizontal="center" vertical="center" wrapText="1"/>
    </xf>
    <xf numFmtId="0" fontId="38" fillId="27" borderId="48" xfId="0" applyFont="1" applyFill="1" applyBorder="1" applyAlignment="1">
      <alignment horizontal="left" vertical="top" wrapText="1"/>
    </xf>
    <xf numFmtId="0" fontId="38" fillId="27" borderId="50" xfId="0" applyFont="1" applyFill="1" applyBorder="1" applyAlignment="1">
      <alignment horizontal="left" vertical="top" wrapText="1"/>
    </xf>
    <xf numFmtId="0" fontId="38" fillId="27" borderId="3" xfId="0" applyFont="1" applyFill="1" applyBorder="1" applyAlignment="1">
      <alignment horizontal="left" vertical="top" wrapText="1"/>
    </xf>
    <xf numFmtId="0" fontId="38" fillId="27" borderId="8" xfId="0" applyFont="1" applyFill="1" applyBorder="1" applyAlignment="1">
      <alignment horizontal="left" vertical="top" wrapText="1"/>
    </xf>
    <xf numFmtId="0" fontId="40" fillId="27" borderId="3" xfId="0" applyFont="1" applyFill="1" applyBorder="1" applyAlignment="1">
      <alignment horizontal="left" vertical="top" wrapText="1"/>
    </xf>
    <xf numFmtId="0" fontId="40" fillId="27" borderId="8" xfId="0" applyFont="1" applyFill="1" applyBorder="1" applyAlignment="1">
      <alignment horizontal="left" vertical="top" wrapText="1"/>
    </xf>
    <xf numFmtId="6" fontId="40" fillId="27" borderId="3" xfId="0" applyNumberFormat="1" applyFont="1" applyFill="1" applyBorder="1" applyAlignment="1">
      <alignment horizontal="left" vertical="top" wrapText="1"/>
    </xf>
    <xf numFmtId="6" fontId="40" fillId="27" borderId="8" xfId="0" applyNumberFormat="1" applyFont="1" applyFill="1" applyBorder="1" applyAlignment="1">
      <alignment horizontal="left" vertical="top" wrapText="1"/>
    </xf>
    <xf numFmtId="6" fontId="40" fillId="27" borderId="2" xfId="0" applyNumberFormat="1" applyFont="1" applyFill="1" applyBorder="1" applyAlignment="1">
      <alignment horizontal="left" vertical="top" wrapText="1"/>
    </xf>
    <xf numFmtId="6" fontId="40" fillId="27" borderId="17" xfId="0" applyNumberFormat="1" applyFont="1" applyFill="1" applyBorder="1" applyAlignment="1">
      <alignment horizontal="left" vertical="top" wrapText="1"/>
    </xf>
    <xf numFmtId="0" fontId="38" fillId="27" borderId="45" xfId="0" applyFont="1" applyFill="1" applyBorder="1" applyAlignment="1">
      <alignment horizontal="left" vertical="top" wrapText="1"/>
    </xf>
    <xf numFmtId="0" fontId="38" fillId="27" borderId="46" xfId="0" applyFont="1" applyFill="1" applyBorder="1" applyAlignment="1">
      <alignment horizontal="left" vertical="top" wrapText="1"/>
    </xf>
    <xf numFmtId="0" fontId="38" fillId="27" borderId="132" xfId="0" applyFont="1" applyFill="1" applyBorder="1" applyAlignment="1">
      <alignment horizontal="left" vertical="top" wrapText="1"/>
    </xf>
    <xf numFmtId="0" fontId="38" fillId="27" borderId="133" xfId="0" applyFont="1" applyFill="1" applyBorder="1" applyAlignment="1">
      <alignment horizontal="left" vertical="top" wrapText="1"/>
    </xf>
    <xf numFmtId="0" fontId="52" fillId="0" borderId="205" xfId="0" applyFont="1" applyBorder="1" applyAlignment="1">
      <alignment horizontal="center" vertical="center" wrapText="1"/>
    </xf>
    <xf numFmtId="0" fontId="52" fillId="0" borderId="206" xfId="0" applyFont="1" applyBorder="1" applyAlignment="1">
      <alignment horizontal="center" vertical="center" wrapText="1"/>
    </xf>
    <xf numFmtId="0" fontId="40" fillId="36" borderId="5" xfId="0" applyFont="1" applyFill="1" applyBorder="1" applyAlignment="1">
      <alignment horizontal="left" vertical="top" wrapText="1"/>
    </xf>
    <xf numFmtId="6" fontId="40" fillId="0" borderId="16" xfId="0" applyNumberFormat="1" applyFont="1" applyBorder="1" applyAlignment="1">
      <alignment horizontal="left" vertical="top" wrapText="1"/>
    </xf>
    <xf numFmtId="0" fontId="38" fillId="36" borderId="151" xfId="0" applyFont="1" applyFill="1" applyBorder="1" applyAlignment="1">
      <alignment horizontal="center" vertical="center" wrapText="1"/>
    </xf>
    <xf numFmtId="0" fontId="38" fillId="36" borderId="154" xfId="0" applyFont="1" applyFill="1" applyBorder="1" applyAlignment="1">
      <alignment horizontal="center" vertical="center" wrapText="1"/>
    </xf>
    <xf numFmtId="6" fontId="40" fillId="0" borderId="47" xfId="0" applyNumberFormat="1" applyFont="1" applyBorder="1" applyAlignment="1">
      <alignment horizontal="left" vertical="top" wrapText="1"/>
    </xf>
    <xf numFmtId="0" fontId="48" fillId="0" borderId="4" xfId="0" applyFont="1" applyBorder="1" applyAlignment="1">
      <alignment horizontal="center" vertical="top" wrapText="1"/>
    </xf>
    <xf numFmtId="0" fontId="48" fillId="0" borderId="12" xfId="0" applyFont="1" applyBorder="1" applyAlignment="1">
      <alignment horizontal="center" vertical="top" wrapText="1"/>
    </xf>
    <xf numFmtId="0" fontId="48" fillId="0" borderId="7" xfId="0" applyFont="1" applyBorder="1" applyAlignment="1">
      <alignment horizontal="center" vertical="top" wrapText="1"/>
    </xf>
    <xf numFmtId="0" fontId="52" fillId="0" borderId="137" xfId="0" applyFont="1" applyBorder="1" applyAlignment="1">
      <alignment horizontal="center" vertical="center" wrapText="1"/>
    </xf>
    <xf numFmtId="0" fontId="40" fillId="0" borderId="194" xfId="0" applyFont="1" applyBorder="1" applyAlignment="1">
      <alignment horizontal="center" vertical="center" wrapText="1"/>
    </xf>
    <xf numFmtId="0" fontId="40" fillId="0" borderId="192" xfId="0" applyFont="1" applyBorder="1" applyAlignment="1">
      <alignment horizontal="center" vertical="center" wrapText="1"/>
    </xf>
    <xf numFmtId="0" fontId="40" fillId="0" borderId="193" xfId="0" applyFont="1" applyBorder="1" applyAlignment="1">
      <alignment horizontal="center" vertical="center" wrapText="1"/>
    </xf>
    <xf numFmtId="0" fontId="38" fillId="27" borderId="108" xfId="0" applyFont="1" applyFill="1" applyBorder="1" applyAlignment="1">
      <alignment horizontal="center" vertical="center" wrapText="1"/>
    </xf>
    <xf numFmtId="0" fontId="38" fillId="27" borderId="109" xfId="0" applyFont="1" applyFill="1" applyBorder="1" applyAlignment="1">
      <alignment horizontal="center" vertical="center" wrapText="1"/>
    </xf>
    <xf numFmtId="0" fontId="40" fillId="21" borderId="5" xfId="0" applyFont="1" applyFill="1" applyBorder="1" applyAlignment="1">
      <alignment horizontal="left" vertical="top" wrapText="1"/>
    </xf>
    <xf numFmtId="0" fontId="52" fillId="0" borderId="51" xfId="0" applyFont="1" applyBorder="1" applyAlignment="1">
      <alignment horizontal="center" vertical="center" wrapText="1"/>
    </xf>
    <xf numFmtId="6" fontId="40" fillId="36" borderId="5" xfId="0" applyNumberFormat="1" applyFont="1" applyFill="1" applyBorder="1" applyAlignment="1">
      <alignment horizontal="center" vertical="center" wrapText="1"/>
    </xf>
    <xf numFmtId="0" fontId="52" fillId="0" borderId="213" xfId="0" applyFont="1" applyBorder="1" applyAlignment="1">
      <alignment horizontal="center" vertical="center" wrapText="1"/>
    </xf>
    <xf numFmtId="0" fontId="52" fillId="0" borderId="214" xfId="0" applyFont="1" applyBorder="1" applyAlignment="1">
      <alignment horizontal="center" vertical="center" wrapText="1"/>
    </xf>
    <xf numFmtId="0" fontId="52" fillId="0" borderId="215" xfId="0" applyFont="1" applyBorder="1" applyAlignment="1">
      <alignment horizontal="center" vertical="center" wrapText="1"/>
    </xf>
    <xf numFmtId="0" fontId="52" fillId="0" borderId="216"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217" xfId="0" applyFont="1" applyBorder="1" applyAlignment="1">
      <alignment horizontal="center" vertical="center" wrapText="1"/>
    </xf>
    <xf numFmtId="0" fontId="40" fillId="0" borderId="141" xfId="0" applyFont="1" applyBorder="1" applyAlignment="1">
      <alignment horizontal="left" vertical="top" wrapText="1"/>
    </xf>
    <xf numFmtId="0" fontId="40" fillId="0" borderId="142" xfId="0" applyFont="1" applyBorder="1" applyAlignment="1">
      <alignment horizontal="left" vertical="top" wrapText="1"/>
    </xf>
    <xf numFmtId="0" fontId="52" fillId="0" borderId="208" xfId="0" applyFont="1" applyBorder="1" applyAlignment="1">
      <alignment horizontal="center" vertical="center" wrapText="1"/>
    </xf>
    <xf numFmtId="0" fontId="52" fillId="0" borderId="209" xfId="0" applyFont="1" applyBorder="1" applyAlignment="1">
      <alignment horizontal="center" vertical="center" wrapText="1"/>
    </xf>
    <xf numFmtId="0" fontId="51" fillId="0" borderId="4" xfId="0" applyFont="1" applyBorder="1" applyAlignment="1">
      <alignment horizontal="center" vertical="top" wrapText="1"/>
    </xf>
    <xf numFmtId="0" fontId="51" fillId="0" borderId="12" xfId="0" applyFont="1" applyBorder="1" applyAlignment="1">
      <alignment horizontal="center" vertical="top" wrapText="1"/>
    </xf>
    <xf numFmtId="0" fontId="51" fillId="0" borderId="7" xfId="0" applyFont="1" applyBorder="1" applyAlignment="1">
      <alignment horizontal="center" vertical="top" wrapText="1"/>
    </xf>
    <xf numFmtId="0" fontId="52" fillId="0" borderId="210" xfId="0" applyFont="1" applyBorder="1" applyAlignment="1">
      <alignment horizontal="center" vertical="center" wrapText="1"/>
    </xf>
    <xf numFmtId="6" fontId="40" fillId="27" borderId="141" xfId="0" applyNumberFormat="1" applyFont="1" applyFill="1" applyBorder="1" applyAlignment="1">
      <alignment horizontal="left" vertical="top" wrapText="1"/>
    </xf>
    <xf numFmtId="6" fontId="40" fillId="27" borderId="142" xfId="0" applyNumberFormat="1" applyFont="1" applyFill="1" applyBorder="1" applyAlignment="1">
      <alignment horizontal="left" vertical="top" wrapText="1"/>
    </xf>
    <xf numFmtId="0" fontId="52" fillId="0" borderId="180" xfId="0" applyFont="1" applyBorder="1" applyAlignment="1">
      <alignment horizontal="center" vertical="center" wrapText="1"/>
    </xf>
    <xf numFmtId="0" fontId="52" fillId="0" borderId="112" xfId="0" applyFont="1" applyBorder="1" applyAlignment="1">
      <alignment horizontal="center" vertical="center" wrapText="1"/>
    </xf>
    <xf numFmtId="0" fontId="52" fillId="0" borderId="181"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8" xfId="0" applyFont="1" applyBorder="1" applyAlignment="1">
      <alignment horizontal="center" vertical="center" wrapText="1"/>
    </xf>
    <xf numFmtId="6" fontId="40" fillId="0" borderId="141" xfId="0" applyNumberFormat="1" applyFont="1" applyBorder="1" applyAlignment="1">
      <alignment horizontal="left" vertical="top" wrapText="1"/>
    </xf>
    <xf numFmtId="6" fontId="40" fillId="0" borderId="142" xfId="0" applyNumberFormat="1" applyFont="1" applyBorder="1" applyAlignment="1">
      <alignment horizontal="left" vertical="top" wrapText="1"/>
    </xf>
    <xf numFmtId="0" fontId="40" fillId="0" borderId="10" xfId="0" applyFont="1" applyBorder="1" applyAlignment="1">
      <alignment horizontal="left" vertical="top" wrapText="1"/>
    </xf>
    <xf numFmtId="0" fontId="40" fillId="0" borderId="18" xfId="0" applyFont="1" applyBorder="1" applyAlignment="1">
      <alignment horizontal="left" vertical="top" wrapText="1"/>
    </xf>
    <xf numFmtId="6" fontId="40" fillId="27" borderId="9" xfId="0" applyNumberFormat="1" applyFont="1" applyFill="1" applyBorder="1" applyAlignment="1">
      <alignment horizontal="left" vertical="top" wrapText="1"/>
    </xf>
    <xf numFmtId="6" fontId="40" fillId="27" borderId="11" xfId="0" applyNumberFormat="1" applyFont="1" applyFill="1" applyBorder="1" applyAlignment="1">
      <alignment horizontal="left" vertical="top" wrapText="1"/>
    </xf>
    <xf numFmtId="6" fontId="40" fillId="36" borderId="9" xfId="0" applyNumberFormat="1" applyFont="1" applyFill="1" applyBorder="1" applyAlignment="1">
      <alignment horizontal="center" vertical="center" wrapText="1"/>
    </xf>
    <xf numFmtId="6" fontId="40" fillId="36" borderId="10" xfId="0" applyNumberFormat="1" applyFont="1" applyFill="1" applyBorder="1" applyAlignment="1">
      <alignment horizontal="center" vertical="center" wrapText="1"/>
    </xf>
    <xf numFmtId="0" fontId="40" fillId="0" borderId="9" xfId="0" applyFont="1" applyBorder="1" applyAlignment="1">
      <alignment horizontal="left" vertical="top" wrapText="1"/>
    </xf>
    <xf numFmtId="0" fontId="40" fillId="0" borderId="11" xfId="0" applyFont="1" applyBorder="1" applyAlignment="1">
      <alignment horizontal="left" vertical="top" wrapText="1"/>
    </xf>
    <xf numFmtId="0" fontId="38" fillId="27" borderId="152" xfId="0" applyFont="1" applyFill="1" applyBorder="1" applyAlignment="1">
      <alignment horizontal="center" vertical="center" wrapText="1"/>
    </xf>
    <xf numFmtId="0" fontId="38" fillId="27" borderId="140" xfId="0" applyFont="1" applyFill="1" applyBorder="1" applyAlignment="1">
      <alignment horizontal="center" vertical="center" wrapText="1"/>
    </xf>
    <xf numFmtId="6" fontId="40" fillId="0" borderId="155" xfId="0" applyNumberFormat="1" applyFont="1" applyBorder="1" applyAlignment="1">
      <alignment horizontal="left" vertical="top" wrapText="1"/>
    </xf>
    <xf numFmtId="0" fontId="40" fillId="0" borderId="5" xfId="0" applyFont="1" applyBorder="1" applyAlignment="1">
      <alignment horizontal="center" vertical="center" wrapText="1"/>
    </xf>
    <xf numFmtId="0" fontId="38" fillId="27" borderId="145" xfId="0" applyFont="1" applyFill="1" applyBorder="1" applyAlignment="1">
      <alignment horizontal="center" vertical="center" wrapText="1"/>
    </xf>
    <xf numFmtId="0" fontId="38" fillId="27" borderId="146" xfId="0" applyFont="1" applyFill="1" applyBorder="1" applyAlignment="1">
      <alignment horizontal="center" vertical="center" wrapText="1"/>
    </xf>
    <xf numFmtId="165" fontId="38" fillId="36" borderId="106" xfId="0" applyNumberFormat="1" applyFont="1" applyFill="1" applyBorder="1" applyAlignment="1">
      <alignment horizontal="center" vertical="center" wrapText="1"/>
    </xf>
    <xf numFmtId="165" fontId="38" fillId="36" borderId="105" xfId="0" applyNumberFormat="1" applyFont="1" applyFill="1" applyBorder="1" applyAlignment="1">
      <alignment horizontal="center" vertical="center" wrapText="1"/>
    </xf>
    <xf numFmtId="0" fontId="38" fillId="27" borderId="139" xfId="0" applyFont="1" applyFill="1" applyBorder="1" applyAlignment="1">
      <alignment horizontal="center" vertical="center" wrapText="1"/>
    </xf>
    <xf numFmtId="0" fontId="38" fillId="27" borderId="123" xfId="0" applyFont="1" applyFill="1" applyBorder="1" applyAlignment="1">
      <alignment horizontal="center" vertical="center" wrapText="1"/>
    </xf>
    <xf numFmtId="165" fontId="38" fillId="27" borderId="75" xfId="0" applyNumberFormat="1" applyFont="1" applyFill="1" applyBorder="1" applyAlignment="1">
      <alignment horizontal="center" vertical="center" wrapText="1"/>
    </xf>
    <xf numFmtId="165" fontId="38" fillId="27" borderId="36" xfId="0" applyNumberFormat="1" applyFont="1" applyFill="1" applyBorder="1" applyAlignment="1">
      <alignment horizontal="center" vertical="center" wrapText="1"/>
    </xf>
    <xf numFmtId="165" fontId="38" fillId="26" borderId="72" xfId="0" applyNumberFormat="1" applyFont="1" applyFill="1" applyBorder="1" applyAlignment="1">
      <alignment horizontal="center" vertical="center" wrapText="1"/>
    </xf>
    <xf numFmtId="6" fontId="40" fillId="27" borderId="37" xfId="0" applyNumberFormat="1" applyFont="1" applyFill="1" applyBorder="1" applyAlignment="1">
      <alignment horizontal="left" vertical="top" wrapText="1"/>
    </xf>
    <xf numFmtId="6" fontId="40" fillId="27" borderId="38" xfId="0" applyNumberFormat="1" applyFont="1" applyFill="1" applyBorder="1" applyAlignment="1">
      <alignment horizontal="left" vertical="top" wrapText="1"/>
    </xf>
    <xf numFmtId="0" fontId="38" fillId="27" borderId="74" xfId="0" applyFont="1" applyFill="1" applyBorder="1" applyAlignment="1">
      <alignment horizontal="center" vertical="center" wrapText="1"/>
    </xf>
    <xf numFmtId="0" fontId="38" fillId="27" borderId="4" xfId="0" applyFont="1" applyFill="1" applyBorder="1" applyAlignment="1">
      <alignment horizontal="center" vertical="center" wrapText="1"/>
    </xf>
    <xf numFmtId="0" fontId="40" fillId="0" borderId="155" xfId="0" applyFont="1" applyBorder="1" applyAlignment="1">
      <alignment horizontal="left" vertical="top" wrapText="1"/>
    </xf>
    <xf numFmtId="0" fontId="40" fillId="0" borderId="6" xfId="0" applyFont="1" applyBorder="1" applyAlignment="1">
      <alignment horizontal="left" vertical="top" wrapText="1"/>
    </xf>
    <xf numFmtId="165" fontId="38" fillId="26" borderId="90" xfId="0" applyNumberFormat="1" applyFont="1" applyFill="1" applyBorder="1" applyAlignment="1">
      <alignment horizontal="center" vertical="center" wrapText="1"/>
    </xf>
    <xf numFmtId="165" fontId="38" fillId="26" borderId="91" xfId="0" applyNumberFormat="1" applyFont="1" applyFill="1" applyBorder="1" applyAlignment="1">
      <alignment horizontal="center" vertical="center" wrapText="1"/>
    </xf>
    <xf numFmtId="0" fontId="40" fillId="32" borderId="5" xfId="0" applyFont="1" applyFill="1" applyBorder="1" applyAlignment="1">
      <alignment horizontal="center" vertical="center" wrapText="1"/>
    </xf>
    <xf numFmtId="165" fontId="38" fillId="26" borderId="106" xfId="0" applyNumberFormat="1" applyFont="1" applyFill="1" applyBorder="1" applyAlignment="1">
      <alignment horizontal="center" vertical="center" wrapText="1"/>
    </xf>
    <xf numFmtId="165" fontId="38" fillId="26" borderId="105" xfId="0" applyNumberFormat="1" applyFont="1" applyFill="1" applyBorder="1" applyAlignment="1">
      <alignment horizontal="center" vertical="center" wrapText="1"/>
    </xf>
    <xf numFmtId="0" fontId="38" fillId="36" borderId="35" xfId="0" applyFont="1" applyFill="1" applyBorder="1" applyAlignment="1">
      <alignment horizontal="center" vertical="center" wrapText="1"/>
    </xf>
    <xf numFmtId="0" fontId="38" fillId="36" borderId="39" xfId="0" applyFont="1" applyFill="1" applyBorder="1" applyAlignment="1">
      <alignment horizontal="center" vertical="center" wrapText="1"/>
    </xf>
    <xf numFmtId="6" fontId="40" fillId="36" borderId="2" xfId="0" applyNumberFormat="1" applyFont="1" applyFill="1" applyBorder="1" applyAlignment="1">
      <alignment horizontal="center" vertical="center" wrapText="1"/>
    </xf>
    <xf numFmtId="6" fontId="40" fillId="0" borderId="175" xfId="0" applyNumberFormat="1" applyFont="1" applyBorder="1" applyAlignment="1">
      <alignment horizontal="left" vertical="top" wrapText="1"/>
    </xf>
    <xf numFmtId="165" fontId="38" fillId="27" borderId="35" xfId="0" applyNumberFormat="1" applyFont="1" applyFill="1" applyBorder="1" applyAlignment="1">
      <alignment horizontal="center" vertical="center" wrapText="1"/>
    </xf>
    <xf numFmtId="165" fontId="38" fillId="27" borderId="39" xfId="0" applyNumberFormat="1" applyFont="1" applyFill="1" applyBorder="1" applyAlignment="1">
      <alignment horizontal="center" vertical="center" wrapText="1"/>
    </xf>
    <xf numFmtId="0" fontId="40" fillId="32" borderId="5" xfId="0" applyFont="1" applyFill="1" applyBorder="1" applyAlignment="1">
      <alignment horizontal="left" vertical="top" wrapText="1"/>
    </xf>
    <xf numFmtId="0" fontId="40" fillId="32" borderId="8" xfId="0" applyFont="1" applyFill="1" applyBorder="1" applyAlignment="1">
      <alignment horizontal="left" vertical="top" wrapText="1"/>
    </xf>
    <xf numFmtId="165" fontId="38" fillId="26" borderId="30" xfId="0" applyNumberFormat="1" applyFont="1" applyFill="1" applyBorder="1" applyAlignment="1">
      <alignment horizontal="center" vertical="center" wrapText="1"/>
    </xf>
    <xf numFmtId="165" fontId="38" fillId="26" borderId="7" xfId="0" applyNumberFormat="1" applyFont="1" applyFill="1" applyBorder="1" applyAlignment="1">
      <alignment horizontal="center" vertical="center" wrapText="1"/>
    </xf>
    <xf numFmtId="0" fontId="38" fillId="27" borderId="143" xfId="0" applyFont="1" applyFill="1" applyBorder="1" applyAlignment="1">
      <alignment horizontal="center" vertical="center" wrapText="1"/>
    </xf>
    <xf numFmtId="165" fontId="38" fillId="36" borderId="228" xfId="0" applyNumberFormat="1" applyFont="1" applyFill="1" applyBorder="1" applyAlignment="1">
      <alignment horizontal="center" vertical="center" wrapText="1"/>
    </xf>
    <xf numFmtId="165" fontId="38" fillId="36" borderId="229" xfId="0" applyNumberFormat="1" applyFont="1" applyFill="1" applyBorder="1" applyAlignment="1">
      <alignment horizontal="center" vertical="center" wrapText="1"/>
    </xf>
    <xf numFmtId="0" fontId="38" fillId="27" borderId="27" xfId="0" applyFont="1" applyFill="1" applyBorder="1" applyAlignment="1">
      <alignment horizontal="center" vertical="center" wrapText="1"/>
    </xf>
    <xf numFmtId="6" fontId="40" fillId="0" borderId="37" xfId="0" applyNumberFormat="1" applyFont="1" applyBorder="1" applyAlignment="1">
      <alignment horizontal="left" vertical="top" wrapText="1"/>
    </xf>
    <xf numFmtId="6" fontId="40" fillId="0" borderId="38" xfId="0" applyNumberFormat="1" applyFont="1" applyBorder="1" applyAlignment="1">
      <alignment horizontal="left" vertical="top" wrapText="1"/>
    </xf>
    <xf numFmtId="6" fontId="40" fillId="0" borderId="193" xfId="0" applyNumberFormat="1" applyFont="1" applyBorder="1" applyAlignment="1">
      <alignment horizontal="left" vertical="top" wrapText="1"/>
    </xf>
    <xf numFmtId="0" fontId="38" fillId="27" borderId="121" xfId="0" applyFont="1" applyFill="1" applyBorder="1" applyAlignment="1">
      <alignment horizontal="center" vertical="center" wrapText="1"/>
    </xf>
    <xf numFmtId="0" fontId="38" fillId="27" borderId="10" xfId="0" applyFont="1" applyFill="1" applyBorder="1" applyAlignment="1">
      <alignment horizontal="left" vertical="top" wrapText="1"/>
    </xf>
    <xf numFmtId="0" fontId="38" fillId="27" borderId="18" xfId="0" applyFont="1" applyFill="1" applyBorder="1" applyAlignment="1">
      <alignment horizontal="left" vertical="top" wrapText="1"/>
    </xf>
    <xf numFmtId="0" fontId="38" fillId="0" borderId="10" xfId="0" applyFont="1" applyBorder="1" applyAlignment="1">
      <alignment horizontal="left" vertical="top" wrapText="1"/>
    </xf>
    <xf numFmtId="0" fontId="38" fillId="0" borderId="18" xfId="0" applyFont="1" applyBorder="1" applyAlignment="1">
      <alignment horizontal="left" vertical="top" wrapText="1"/>
    </xf>
    <xf numFmtId="165" fontId="38" fillId="26" borderId="27" xfId="0" applyNumberFormat="1" applyFont="1" applyFill="1" applyBorder="1" applyAlignment="1">
      <alignment horizontal="center" vertical="center" wrapText="1"/>
    </xf>
    <xf numFmtId="165" fontId="38" fillId="26" borderId="4" xfId="0" applyNumberFormat="1" applyFont="1" applyFill="1" applyBorder="1" applyAlignment="1">
      <alignment horizontal="center" vertical="center" wrapText="1"/>
    </xf>
    <xf numFmtId="165" fontId="38" fillId="26" borderId="151" xfId="0" applyNumberFormat="1" applyFont="1" applyFill="1" applyBorder="1" applyAlignment="1">
      <alignment horizontal="center" vertical="center" wrapText="1"/>
    </xf>
    <xf numFmtId="0" fontId="52" fillId="0" borderId="189" xfId="0" applyFont="1" applyBorder="1" applyAlignment="1">
      <alignment horizontal="center" vertical="center" wrapText="1"/>
    </xf>
    <xf numFmtId="0" fontId="52" fillId="0" borderId="17" xfId="0" applyFont="1" applyBorder="1" applyAlignment="1">
      <alignment horizontal="center" vertical="center" wrapText="1"/>
    </xf>
    <xf numFmtId="0" fontId="52" fillId="0" borderId="19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184" xfId="0" applyFont="1" applyBorder="1" applyAlignment="1">
      <alignment horizontal="center" vertical="center" wrapText="1"/>
    </xf>
    <xf numFmtId="165" fontId="38" fillId="26" borderId="124" xfId="0" applyNumberFormat="1" applyFont="1" applyFill="1" applyBorder="1" applyAlignment="1">
      <alignment horizontal="center" vertical="center" wrapText="1"/>
    </xf>
    <xf numFmtId="165" fontId="38" fillId="36" borderId="150" xfId="0" applyNumberFormat="1" applyFont="1" applyFill="1" applyBorder="1" applyAlignment="1">
      <alignment horizontal="center" vertical="center" wrapText="1"/>
    </xf>
    <xf numFmtId="165" fontId="38" fillId="36" borderId="62" xfId="0" applyNumberFormat="1" applyFont="1" applyFill="1" applyBorder="1" applyAlignment="1">
      <alignment horizontal="center" vertical="center" wrapText="1"/>
    </xf>
    <xf numFmtId="165" fontId="38" fillId="26" borderId="154" xfId="0" applyNumberFormat="1" applyFont="1" applyFill="1" applyBorder="1" applyAlignment="1">
      <alignment horizontal="center" vertical="center" wrapText="1"/>
    </xf>
    <xf numFmtId="165" fontId="38" fillId="26" borderId="36" xfId="0" applyNumberFormat="1" applyFont="1" applyFill="1" applyBorder="1" applyAlignment="1">
      <alignment horizontal="center" vertical="center" wrapText="1"/>
    </xf>
    <xf numFmtId="165" fontId="38" fillId="26" borderId="28" xfId="0" applyNumberFormat="1" applyFont="1" applyFill="1" applyBorder="1" applyAlignment="1">
      <alignment horizontal="center" vertical="center" wrapText="1"/>
    </xf>
    <xf numFmtId="165" fontId="38" fillId="26" borderId="12" xfId="0" applyNumberFormat="1" applyFont="1" applyFill="1" applyBorder="1" applyAlignment="1">
      <alignment horizontal="center" vertical="center" wrapText="1"/>
    </xf>
    <xf numFmtId="6" fontId="40" fillId="0" borderId="118" xfId="0" applyNumberFormat="1" applyFont="1" applyBorder="1" applyAlignment="1">
      <alignment horizontal="left" vertical="top" wrapText="1"/>
    </xf>
    <xf numFmtId="0" fontId="40" fillId="0" borderId="116" xfId="0" applyFont="1" applyBorder="1" applyAlignment="1">
      <alignment horizontal="center" vertical="center" wrapText="1"/>
    </xf>
    <xf numFmtId="0" fontId="40" fillId="0" borderId="148" xfId="0" applyFont="1" applyBorder="1" applyAlignment="1">
      <alignment horizontal="left" vertical="top" wrapText="1"/>
    </xf>
    <xf numFmtId="165" fontId="38" fillId="36" borderId="100" xfId="0" applyNumberFormat="1" applyFont="1" applyFill="1" applyBorder="1" applyAlignment="1">
      <alignment horizontal="center" vertical="center" wrapText="1"/>
    </xf>
    <xf numFmtId="165" fontId="38" fillId="36" borderId="110" xfId="0" applyNumberFormat="1" applyFont="1" applyFill="1" applyBorder="1" applyAlignment="1">
      <alignment horizontal="center" vertical="center" wrapText="1"/>
    </xf>
    <xf numFmtId="6" fontId="40" fillId="0" borderId="103" xfId="0" applyNumberFormat="1" applyFont="1" applyBorder="1" applyAlignment="1">
      <alignment horizontal="left" vertical="top" wrapText="1"/>
    </xf>
    <xf numFmtId="6" fontId="40" fillId="0" borderId="104" xfId="0" applyNumberFormat="1" applyFont="1" applyBorder="1" applyAlignment="1">
      <alignment horizontal="left" vertical="top" wrapText="1"/>
    </xf>
    <xf numFmtId="165" fontId="38" fillId="26" borderId="75" xfId="0" applyNumberFormat="1" applyFont="1" applyFill="1" applyBorder="1" applyAlignment="1">
      <alignment horizontal="center" vertical="center" wrapText="1"/>
    </xf>
    <xf numFmtId="165" fontId="38" fillId="26" borderId="74" xfId="0" applyNumberFormat="1" applyFont="1" applyFill="1" applyBorder="1" applyAlignment="1">
      <alignment horizontal="center" vertical="center" wrapText="1"/>
    </xf>
    <xf numFmtId="165" fontId="38" fillId="36" borderId="70" xfId="0" applyNumberFormat="1" applyFont="1" applyFill="1" applyBorder="1" applyAlignment="1">
      <alignment horizontal="center" vertical="center" wrapText="1"/>
    </xf>
    <xf numFmtId="6" fontId="40" fillId="0" borderId="148" xfId="0" applyNumberFormat="1" applyFont="1" applyBorder="1" applyAlignment="1">
      <alignment horizontal="left" vertical="top" wrapText="1"/>
    </xf>
    <xf numFmtId="0" fontId="40" fillId="0" borderId="117" xfId="0" applyFont="1" applyBorder="1" applyAlignment="1">
      <alignment horizontal="left" vertical="top" wrapText="1"/>
    </xf>
    <xf numFmtId="0" fontId="40" fillId="0" borderId="0" xfId="0" applyFont="1" applyAlignment="1">
      <alignment horizontal="center" vertical="top" wrapText="1"/>
    </xf>
    <xf numFmtId="6" fontId="40" fillId="36" borderId="53" xfId="0" applyNumberFormat="1" applyFont="1" applyFill="1" applyBorder="1" applyAlignment="1">
      <alignment horizontal="center" vertical="center" wrapText="1"/>
    </xf>
    <xf numFmtId="0" fontId="38" fillId="27" borderId="9" xfId="0" applyFont="1" applyFill="1" applyBorder="1" applyAlignment="1">
      <alignment horizontal="left" vertical="top" wrapText="1"/>
    </xf>
    <xf numFmtId="0" fontId="38" fillId="27" borderId="11" xfId="0" applyFont="1" applyFill="1" applyBorder="1" applyAlignment="1">
      <alignment horizontal="left" vertical="top" wrapText="1"/>
    </xf>
    <xf numFmtId="165" fontId="38" fillId="26" borderId="123" xfId="0" applyNumberFormat="1" applyFont="1" applyFill="1" applyBorder="1" applyAlignment="1">
      <alignment horizontal="center" vertical="center" wrapText="1"/>
    </xf>
    <xf numFmtId="0" fontId="38" fillId="27" borderId="129" xfId="0" applyFont="1" applyFill="1" applyBorder="1" applyAlignment="1">
      <alignment horizontal="center" vertical="center" wrapText="1"/>
    </xf>
    <xf numFmtId="0" fontId="38" fillId="27" borderId="11" xfId="0" applyFont="1" applyFill="1" applyBorder="1" applyAlignment="1">
      <alignment horizontal="center" vertical="center" wrapText="1"/>
    </xf>
    <xf numFmtId="0" fontId="38" fillId="36" borderId="123" xfId="0" applyFont="1" applyFill="1" applyBorder="1" applyAlignment="1">
      <alignment horizontal="center" vertical="center" wrapText="1"/>
    </xf>
    <xf numFmtId="0" fontId="38" fillId="36" borderId="8" xfId="0" applyFont="1" applyFill="1" applyBorder="1" applyAlignment="1">
      <alignment horizontal="center" vertical="center" wrapText="1"/>
    </xf>
    <xf numFmtId="0" fontId="38" fillId="36" borderId="127" xfId="0" applyFont="1" applyFill="1" applyBorder="1" applyAlignment="1">
      <alignment horizontal="center" vertical="center" wrapText="1"/>
    </xf>
    <xf numFmtId="0" fontId="38" fillId="36" borderId="46" xfId="0" applyFont="1" applyFill="1" applyBorder="1" applyAlignment="1">
      <alignment horizontal="center" vertical="center" wrapText="1"/>
    </xf>
    <xf numFmtId="165" fontId="38" fillId="27" borderId="123" xfId="0" applyNumberFormat="1" applyFont="1" applyFill="1" applyBorder="1" applyAlignment="1">
      <alignment horizontal="center" vertical="center" wrapText="1"/>
    </xf>
    <xf numFmtId="165" fontId="38" fillId="27" borderId="8" xfId="0" applyNumberFormat="1" applyFont="1" applyFill="1" applyBorder="1" applyAlignment="1">
      <alignment horizontal="center" vertical="center" wrapText="1"/>
    </xf>
    <xf numFmtId="165" fontId="38" fillId="36" borderId="122" xfId="0" applyNumberFormat="1" applyFont="1" applyFill="1" applyBorder="1" applyAlignment="1">
      <alignment horizontal="center" vertical="center" wrapText="1"/>
    </xf>
    <xf numFmtId="165" fontId="38" fillId="36" borderId="50" xfId="0" applyNumberFormat="1" applyFont="1" applyFill="1" applyBorder="1" applyAlignment="1">
      <alignment horizontal="center" vertical="center" wrapText="1"/>
    </xf>
    <xf numFmtId="165" fontId="38" fillId="26" borderId="127" xfId="0" applyNumberFormat="1" applyFont="1" applyFill="1" applyBorder="1" applyAlignment="1">
      <alignment horizontal="center" vertical="center" wrapText="1"/>
    </xf>
    <xf numFmtId="165" fontId="38" fillId="26" borderId="46" xfId="0" applyNumberFormat="1" applyFont="1" applyFill="1" applyBorder="1" applyAlignment="1">
      <alignment horizontal="center" vertical="center" wrapText="1"/>
    </xf>
    <xf numFmtId="165" fontId="38" fillId="25" borderId="123" xfId="0" applyNumberFormat="1" applyFont="1" applyFill="1" applyBorder="1" applyAlignment="1">
      <alignment horizontal="center" vertical="center" wrapText="1"/>
    </xf>
    <xf numFmtId="165" fontId="38" fillId="25" borderId="8" xfId="0" applyNumberFormat="1" applyFont="1" applyFill="1" applyBorder="1" applyAlignment="1">
      <alignment horizontal="center" vertical="center" wrapText="1"/>
    </xf>
    <xf numFmtId="0" fontId="38" fillId="0" borderId="16" xfId="0" applyFont="1" applyBorder="1" applyAlignment="1">
      <alignment horizontal="left" vertical="top" wrapText="1"/>
    </xf>
    <xf numFmtId="0" fontId="38" fillId="25" borderId="124" xfId="0" applyFont="1" applyFill="1" applyBorder="1" applyAlignment="1">
      <alignment horizontal="center" vertical="center" wrapText="1"/>
    </xf>
    <xf numFmtId="0" fontId="38" fillId="25" borderId="125" xfId="0" applyFont="1" applyFill="1" applyBorder="1" applyAlignment="1">
      <alignment horizontal="center" vertical="center" wrapText="1"/>
    </xf>
    <xf numFmtId="0" fontId="38" fillId="25" borderId="126" xfId="0" applyFont="1" applyFill="1" applyBorder="1" applyAlignment="1">
      <alignment horizontal="center" vertical="center" wrapText="1"/>
    </xf>
    <xf numFmtId="0" fontId="38" fillId="22" borderId="123" xfId="0" applyFont="1" applyFill="1" applyBorder="1" applyAlignment="1">
      <alignment horizontal="center" vertical="center" wrapText="1"/>
    </xf>
    <xf numFmtId="0" fontId="38" fillId="22" borderId="8" xfId="0" applyFont="1" applyFill="1" applyBorder="1" applyAlignment="1">
      <alignment horizontal="center" vertical="center" wrapText="1"/>
    </xf>
    <xf numFmtId="0" fontId="38" fillId="27" borderId="122" xfId="0" applyFont="1" applyFill="1" applyBorder="1" applyAlignment="1">
      <alignment horizontal="center" vertical="center" wrapText="1"/>
    </xf>
    <xf numFmtId="0" fontId="38" fillId="27" borderId="50" xfId="0" applyFont="1" applyFill="1" applyBorder="1" applyAlignment="1">
      <alignment horizontal="center" vertical="center" wrapText="1"/>
    </xf>
    <xf numFmtId="6" fontId="40" fillId="0" borderId="224" xfId="0" applyNumberFormat="1" applyFont="1" applyBorder="1" applyAlignment="1">
      <alignment horizontal="left" vertical="top" wrapText="1"/>
    </xf>
    <xf numFmtId="165" fontId="38" fillId="36" borderId="227" xfId="0" applyNumberFormat="1" applyFont="1" applyFill="1" applyBorder="1" applyAlignment="1">
      <alignment horizontal="center" vertical="center" wrapText="1"/>
    </xf>
    <xf numFmtId="165" fontId="38" fillId="27" borderId="94" xfId="0" applyNumberFormat="1" applyFont="1" applyFill="1" applyBorder="1" applyAlignment="1">
      <alignment horizontal="center" vertical="center" wrapText="1"/>
    </xf>
    <xf numFmtId="165" fontId="38" fillId="27" borderId="95" xfId="0" applyNumberFormat="1" applyFont="1" applyFill="1" applyBorder="1" applyAlignment="1">
      <alignment horizontal="center" vertical="center" wrapText="1"/>
    </xf>
    <xf numFmtId="169" fontId="0" fillId="0" borderId="0" xfId="0" applyNumberFormat="1" applyAlignment="1">
      <alignment horizontal="center"/>
    </xf>
    <xf numFmtId="170" fontId="0" fillId="0" borderId="0" xfId="0" applyNumberFormat="1" applyAlignment="1">
      <alignment horizontal="center"/>
    </xf>
  </cellXfs>
  <cellStyles count="8">
    <cellStyle name="Comma" xfId="2" builtinId="3"/>
    <cellStyle name="Currency 2" xfId="5" xr:uid="{00000000-0005-0000-0000-000001000000}"/>
    <cellStyle name="Hyperlink" xfId="1" builtinId="8"/>
    <cellStyle name="Normal" xfId="0" builtinId="0"/>
    <cellStyle name="Normal 2" xfId="3" xr:uid="{00000000-0005-0000-0000-000004000000}"/>
    <cellStyle name="Normal 2 2" xfId="6" xr:uid="{00000000-0005-0000-0000-000005000000}"/>
    <cellStyle name="Normal 3" xfId="7" xr:uid="{00000000-0005-0000-0000-000006000000}"/>
    <cellStyle name="Percent" xfId="4" builtinId="5"/>
  </cellStyles>
  <dxfs count="682">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ill>
        <patternFill>
          <bgColor rgb="FFFF0000"/>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ill>
        <patternFill>
          <bgColor theme="4" tint="0.79998168889431442"/>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39994506668294322"/>
        </patternFill>
      </fill>
    </dxf>
    <dxf>
      <fill>
        <patternFill>
          <bgColor theme="4" tint="0.59996337778862885"/>
        </patternFill>
      </fill>
    </dxf>
    <dxf>
      <fill>
        <patternFill>
          <bgColor theme="4" tint="-0.24994659260841701"/>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4" tint="-0.24994659260841701"/>
        </patternFill>
      </fill>
    </dxf>
    <dxf>
      <fill>
        <patternFill>
          <bgColor theme="3" tint="0.39994506668294322"/>
        </patternFill>
      </fill>
    </dxf>
    <dxf>
      <fill>
        <patternFill>
          <bgColor theme="3"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3"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24994659260841701"/>
        </patternFill>
      </fill>
    </dxf>
    <dxf>
      <fill>
        <patternFill>
          <bgColor theme="3" tint="0.59996337778862885"/>
        </patternFill>
      </fill>
    </dxf>
    <dxf>
      <fill>
        <patternFill>
          <bgColor theme="4"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4" tint="-0.24994659260841701"/>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3" tint="0.79998168889431442"/>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ill>
        <patternFill>
          <bgColor rgb="FFFF0000"/>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theme="1"/>
      </font>
      <fill>
        <patternFill>
          <bgColor rgb="FF62AE9C"/>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0000"/>
        </patternFill>
      </fill>
    </dxf>
    <dxf>
      <font>
        <color auto="1"/>
      </font>
      <fill>
        <patternFill>
          <bgColor rgb="FFFFC000"/>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3" tint="0.59996337778862885"/>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92D050"/>
        </patternFill>
      </fill>
    </dxf>
    <dxf>
      <font>
        <color theme="0"/>
      </font>
      <fill>
        <patternFill>
          <bgColor rgb="FFFFC000"/>
        </patternFill>
      </fill>
    </dxf>
    <dxf>
      <fill>
        <patternFill>
          <bgColor rgb="FFFF0000"/>
        </patternFill>
      </fill>
    </dxf>
    <dxf>
      <font>
        <color theme="0"/>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theme="1"/>
      </font>
      <fill>
        <patternFill>
          <bgColor rgb="FF62AE9C"/>
        </patternFill>
      </fill>
    </dxf>
    <dxf>
      <font>
        <color auto="1"/>
      </font>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FFC000"/>
        </patternFill>
      </fill>
    </dxf>
    <dxf>
      <font>
        <color theme="1"/>
      </font>
      <fill>
        <patternFill>
          <bgColor rgb="FF62AE9C"/>
        </patternFill>
      </fill>
    </dxf>
    <dxf>
      <font>
        <color auto="1"/>
      </font>
      <fill>
        <patternFill>
          <bgColor rgb="FFFF0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theme="1"/>
      </font>
      <fill>
        <patternFill>
          <bgColor rgb="FF62AE9C"/>
        </patternFill>
      </fill>
    </dxf>
    <dxf>
      <font>
        <color auto="1"/>
      </font>
      <fill>
        <patternFill>
          <bgColor rgb="FFFFC000"/>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ill>
        <patternFill>
          <bgColor theme="4" tint="0.59996337778862885"/>
        </patternFill>
      </fill>
    </dxf>
    <dxf>
      <fill>
        <patternFill>
          <bgColor theme="4" tint="0.79998168889431442"/>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3" tint="0.79998168889431442"/>
        </patternFill>
      </fill>
    </dxf>
    <dxf>
      <fill>
        <patternFill>
          <bgColor theme="4" tint="-0.24994659260841701"/>
        </patternFill>
      </fill>
    </dxf>
    <dxf>
      <fill>
        <patternFill>
          <bgColor theme="3" tint="0.79998168889431442"/>
        </patternFill>
      </fill>
    </dxf>
    <dxf>
      <fill>
        <patternFill>
          <bgColor theme="3" tint="0.59996337778862885"/>
        </patternFill>
      </fill>
    </dxf>
    <dxf>
      <fill>
        <patternFill>
          <bgColor theme="3" tint="0.3999450666829432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79998168889431442"/>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39994506668294322"/>
        </patternFill>
      </fill>
    </dxf>
    <dxf>
      <fill>
        <patternFill>
          <bgColor theme="4" tint="0.59996337778862885"/>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59996337778862885"/>
        </patternFill>
      </fill>
    </dxf>
    <dxf>
      <fill>
        <patternFill>
          <bgColor theme="3" tint="0.59996337778862885"/>
        </patternFill>
      </fill>
    </dxf>
    <dxf>
      <fill>
        <patternFill>
          <bgColor theme="4" tint="0.79998168889431442"/>
        </patternFill>
      </fill>
    </dxf>
    <dxf>
      <fill>
        <patternFill>
          <bgColor theme="4" tint="0.39994506668294322"/>
        </patternFill>
      </fill>
    </dxf>
    <dxf>
      <fill>
        <patternFill>
          <bgColor theme="3" tint="0.39994506668294322"/>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39994506668294322"/>
        </patternFill>
      </fill>
    </dxf>
    <dxf>
      <fill>
        <patternFill>
          <bgColor theme="3" tint="0.79998168889431442"/>
        </patternFill>
      </fill>
    </dxf>
    <dxf>
      <fill>
        <patternFill>
          <bgColor theme="4" tint="-0.24994659260841701"/>
        </patternFill>
      </fill>
    </dxf>
    <dxf>
      <fill>
        <patternFill>
          <bgColor theme="3" tint="0.59996337778862885"/>
        </patternFill>
      </fill>
    </dxf>
    <dxf>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ill>
        <patternFill>
          <bgColor theme="3" tint="0.79998168889431442"/>
        </patternFill>
      </fill>
    </dxf>
    <dxf>
      <fill>
        <patternFill>
          <bgColor theme="3" tint="0.59996337778862885"/>
        </patternFill>
      </fill>
    </dxf>
    <dxf>
      <fill>
        <patternFill>
          <bgColor theme="4" tint="0.3999450666829432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59996337778862885"/>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59996337778862885"/>
        </patternFill>
      </fill>
    </dxf>
    <dxf>
      <fill>
        <patternFill>
          <bgColor theme="3" tint="0.7999816888943144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theme="4" tint="-0.24994659260841701"/>
        </patternFill>
      </fill>
    </dxf>
    <dxf>
      <fill>
        <patternFill>
          <bgColor theme="3" tint="0.79998168889431442"/>
        </patternFill>
      </fill>
    </dxf>
    <dxf>
      <fill>
        <patternFill>
          <bgColor theme="3" tint="0.3999450666829432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39994506668294322"/>
        </patternFill>
      </fill>
    </dxf>
    <dxf>
      <fill>
        <patternFill>
          <bgColor theme="4" tint="0.59996337778862885"/>
        </patternFill>
      </fill>
    </dxf>
    <dxf>
      <fill>
        <patternFill>
          <bgColor theme="3" tint="0.39994506668294322"/>
        </patternFill>
      </fill>
    </dxf>
    <dxf>
      <fill>
        <patternFill>
          <bgColor theme="4" tint="0.79998168889431442"/>
        </patternFill>
      </fill>
    </dxf>
    <dxf>
      <fill>
        <patternFill>
          <bgColor theme="3" tint="0.59996337778862885"/>
        </patternFill>
      </fill>
    </dxf>
    <dxf>
      <fill>
        <patternFill>
          <bgColor theme="3" tint="0.79998168889431442"/>
        </patternFill>
      </fill>
    </dxf>
    <dxf>
      <fill>
        <patternFill>
          <bgColor theme="4" tint="-0.24994659260841701"/>
        </patternFill>
      </fill>
    </dxf>
    <dxf>
      <font>
        <color rgb="FFFF0000"/>
      </font>
    </dxf>
    <dxf>
      <font>
        <color rgb="FF00B050"/>
      </font>
    </dxf>
    <dxf>
      <font>
        <color theme="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00B050"/>
      </font>
    </dxf>
    <dxf>
      <font>
        <color rgb="FFFF0000"/>
      </font>
    </dxf>
    <dxf>
      <font>
        <color rgb="FF00B050"/>
      </font>
    </dxf>
    <dxf>
      <font>
        <color rgb="FFFF0000"/>
      </font>
    </dxf>
    <dxf>
      <font>
        <color rgb="FFFF0000"/>
      </font>
    </dxf>
    <dxf>
      <font>
        <color rgb="FF00B050"/>
      </font>
    </dxf>
    <dxf>
      <font>
        <color rgb="FF00B050"/>
      </font>
    </dxf>
    <dxf>
      <font>
        <color rgb="FFFF0000"/>
      </font>
    </dxf>
    <dxf>
      <font>
        <color rgb="FFFF0000"/>
      </font>
    </dxf>
    <dxf>
      <font>
        <color rgb="FF00B050"/>
      </font>
    </dxf>
    <dxf>
      <font>
        <color rgb="FFFF0000"/>
      </font>
    </dxf>
    <dxf>
      <font>
        <color rgb="FF00B050"/>
      </font>
    </dxf>
    <dxf>
      <font>
        <color rgb="FF00B050"/>
      </font>
    </dxf>
    <dxf>
      <font>
        <color rgb="FFFF0000"/>
      </font>
    </dxf>
    <dxf>
      <font>
        <color rgb="FF00B050"/>
      </font>
    </dxf>
    <dxf>
      <font>
        <color rgb="FFFF0000"/>
      </font>
    </dxf>
    <dxf>
      <font>
        <color rgb="FFFF0000"/>
      </font>
    </dxf>
    <dxf>
      <font>
        <color rgb="FF00B050"/>
      </font>
    </dxf>
    <dxf>
      <font>
        <color rgb="FF00B050"/>
      </font>
    </dxf>
    <dxf>
      <font>
        <color rgb="FFFF0000"/>
      </font>
    </dxf>
    <dxf>
      <font>
        <color rgb="FFFF0000"/>
      </font>
    </dxf>
    <dxf>
      <font>
        <color rgb="FF00B050"/>
      </font>
    </dxf>
    <dxf>
      <font>
        <color rgb="FF00B050"/>
      </font>
    </dxf>
    <dxf>
      <font>
        <color rgb="FFFF0000"/>
      </font>
    </dxf>
    <dxf>
      <font>
        <color rgb="FF00B050"/>
      </font>
    </dxf>
    <dxf>
      <font>
        <color rgb="FFFF0000"/>
      </font>
    </dxf>
    <dxf>
      <font>
        <color rgb="FF00B050"/>
      </font>
    </dxf>
    <dxf>
      <font>
        <color rgb="FFFF0000"/>
      </font>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s>
  <tableStyles count="0" defaultTableStyle="TableStyleMedium2" defaultPivotStyle="PivotStyleLight16"/>
  <colors>
    <mruColors>
      <color rgb="FF62AE9C"/>
      <color rgb="FF5095C8"/>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2870200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35</xdr:col>
      <xdr:colOff>79375</xdr:colOff>
      <xdr:row>2</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2875"/>
          <a:ext cx="2790825" cy="866775"/>
        </a:xfrm>
        <a:prstGeom prst="rect">
          <a:avLst/>
        </a:prstGeom>
        <a:noFill/>
        <a:ln>
          <a:noFill/>
        </a:ln>
      </xdr:spPr>
    </xdr:pic>
    <xdr:clientData/>
  </xdr:oneCellAnchor>
  <xdr:twoCellAnchor editAs="oneCell">
    <xdr:from>
      <xdr:col>1</xdr:col>
      <xdr:colOff>81641</xdr:colOff>
      <xdr:row>72</xdr:row>
      <xdr:rowOff>61231</xdr:rowOff>
    </xdr:from>
    <xdr:to>
      <xdr:col>19</xdr:col>
      <xdr:colOff>707570</xdr:colOff>
      <xdr:row>148</xdr:row>
      <xdr:rowOff>58514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a:srcRect l="47909" t="15478" r="7399" b="781"/>
        <a:stretch/>
      </xdr:blipFill>
      <xdr:spPr>
        <a:xfrm>
          <a:off x="331672" y="30338825"/>
          <a:ext cx="26069586" cy="163207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2873375</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53</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BE23F910-CDAD-4821-99AD-AE6E6AABE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53</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2B61AB87-375A-4C53-A972-E2744D26F52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52625625"/>
          <a:ext cx="2790825" cy="866775"/>
        </a:xfrm>
        <a:prstGeom prst="rect">
          <a:avLst/>
        </a:prstGeom>
        <a:noFill/>
        <a:ln>
          <a:noFill/>
        </a:ln>
      </xdr:spPr>
    </xdr:pic>
    <xdr:clientData/>
  </xdr:oneCellAnchor>
  <xdr:oneCellAnchor>
    <xdr:from>
      <xdr:col>2</xdr:col>
      <xdr:colOff>79375</xdr:colOff>
      <xdr:row>30</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627A0314-A52C-43B4-910D-8065D38938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30</xdr:row>
      <xdr:rowOff>142875</xdr:rowOff>
    </xdr:from>
    <xdr:ext cx="2790825" cy="866775"/>
    <xdr:pic>
      <xdr:nvPicPr>
        <xdr:cNvPr id="7" name="Picture 6" descr="Z:\Planning and Economic Dev\Policy and Conservation\Forward Planning\V. Garden Town\6. Comms, branding &amp; Community Engagement\04. Branding\00. GT Brand\HGGT_Logo.jpg">
          <a:extLst>
            <a:ext uri="{FF2B5EF4-FFF2-40B4-BE49-F238E27FC236}">
              <a16:creationId xmlns:a16="http://schemas.microsoft.com/office/drawing/2014/main" id="{168C0FB2-0DF1-4AD7-A23D-6A01E3E4D09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97982" y="333375"/>
          <a:ext cx="2790825" cy="866775"/>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2872740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45</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09AAE7AB-B4F3-4638-B582-65320FB32C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45</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2AEEADD9-96AC-4E1C-AC91-76BD0323B8B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47944768"/>
          <a:ext cx="2790825" cy="866775"/>
        </a:xfrm>
        <a:prstGeom prst="rect">
          <a:avLst/>
        </a:prstGeom>
        <a:noFill/>
        <a:ln>
          <a:noFill/>
        </a:ln>
      </xdr:spPr>
    </xdr:pic>
    <xdr:clientData/>
  </xdr:oneCellAnchor>
  <xdr:oneCellAnchor>
    <xdr:from>
      <xdr:col>35</xdr:col>
      <xdr:colOff>79375</xdr:colOff>
      <xdr:row>45</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6C840C71-1F92-4E95-A26F-00DB0717E7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47944768"/>
          <a:ext cx="2790825" cy="866775"/>
        </a:xfrm>
        <a:prstGeom prst="rect">
          <a:avLst/>
        </a:prstGeom>
        <a:noFill/>
        <a:ln>
          <a:noFill/>
        </a:ln>
      </xdr:spPr>
    </xdr:pic>
    <xdr:clientData/>
  </xdr:oneCellAnchor>
  <xdr:oneCellAnchor>
    <xdr:from>
      <xdr:col>2</xdr:col>
      <xdr:colOff>79375</xdr:colOff>
      <xdr:row>27</xdr:row>
      <xdr:rowOff>142875</xdr:rowOff>
    </xdr:from>
    <xdr:ext cx="2790825" cy="866775"/>
    <xdr:pic>
      <xdr:nvPicPr>
        <xdr:cNvPr id="7" name="Picture 6" descr="Z:\Planning and Economic Dev\Policy and Conservation\Forward Planning\V. Garden Town\6. Comms, branding &amp; Community Engagement\04. Branding\00. GT Brand\HGGT_Logo.jpg">
          <a:extLst>
            <a:ext uri="{FF2B5EF4-FFF2-40B4-BE49-F238E27FC236}">
              <a16:creationId xmlns:a16="http://schemas.microsoft.com/office/drawing/2014/main" id="{D6D91635-157A-4B18-84F4-CEF47668C4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27</xdr:row>
      <xdr:rowOff>142875</xdr:rowOff>
    </xdr:from>
    <xdr:ext cx="2790825" cy="866775"/>
    <xdr:pic>
      <xdr:nvPicPr>
        <xdr:cNvPr id="8" name="Picture 7" descr="Z:\Planning and Economic Dev\Policy and Conservation\Forward Planning\V. Garden Town\6. Comms, branding &amp; Community Engagement\04. Branding\00. GT Brand\HGGT_Logo.jpg">
          <a:extLst>
            <a:ext uri="{FF2B5EF4-FFF2-40B4-BE49-F238E27FC236}">
              <a16:creationId xmlns:a16="http://schemas.microsoft.com/office/drawing/2014/main" id="{55FC443A-B50D-4165-A854-AE76C009DD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97982" y="333375"/>
          <a:ext cx="2790825" cy="866775"/>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2877820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14</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DC046CB8-4BD8-49E4-A49A-6DB34568781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4875" y="333375"/>
          <a:ext cx="2790825" cy="866775"/>
        </a:xfrm>
        <a:prstGeom prst="rect">
          <a:avLst/>
        </a:prstGeom>
        <a:noFill/>
        <a:ln>
          <a:noFill/>
        </a:ln>
      </xdr:spPr>
    </xdr:pic>
    <xdr:clientData/>
  </xdr:oneCellAnchor>
  <xdr:oneCellAnchor>
    <xdr:from>
      <xdr:col>35</xdr:col>
      <xdr:colOff>79375</xdr:colOff>
      <xdr:row>14</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141FD471-6EEF-4704-934A-699628C4DB7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9911" y="15287625"/>
          <a:ext cx="2790825" cy="866775"/>
        </a:xfrm>
        <a:prstGeom prst="rect">
          <a:avLst/>
        </a:prstGeom>
        <a:noFill/>
        <a:ln>
          <a:noFill/>
        </a:ln>
      </xdr:spPr>
    </xdr:pic>
    <xdr:clientData/>
  </xdr:oneCellAnchor>
  <xdr:oneCellAnchor>
    <xdr:from>
      <xdr:col>35</xdr:col>
      <xdr:colOff>79375</xdr:colOff>
      <xdr:row>14</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6F95B341-A1B1-4C0E-BEFC-7A58C6B8B9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9911" y="15287625"/>
          <a:ext cx="2790825" cy="86677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342900</xdr:colOff>
      <xdr:row>3</xdr:row>
      <xdr:rowOff>428625</xdr:rowOff>
    </xdr:from>
    <xdr:to>
      <xdr:col>11</xdr:col>
      <xdr:colOff>990600</xdr:colOff>
      <xdr:row>32</xdr:row>
      <xdr:rowOff>123825</xdr:rowOff>
    </xdr:to>
    <xdr:sp macro="" textlink="">
      <xdr:nvSpPr>
        <xdr:cNvPr id="2" name="TextBox 1">
          <a:extLst>
            <a:ext uri="{FF2B5EF4-FFF2-40B4-BE49-F238E27FC236}">
              <a16:creationId xmlns:a16="http://schemas.microsoft.com/office/drawing/2014/main" id="{95BD7BC5-69E1-4780-8088-8AE58FD2DE3A}"/>
            </a:ext>
          </a:extLst>
        </xdr:cNvPr>
        <xdr:cNvSpPr txBox="1"/>
      </xdr:nvSpPr>
      <xdr:spPr>
        <a:xfrm>
          <a:off x="3248025" y="1009650"/>
          <a:ext cx="9563100" cy="39624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GB" sz="1800" b="1" baseline="0"/>
        </a:p>
        <a:p>
          <a:pPr algn="ctr"/>
          <a:r>
            <a:rPr lang="en-GB" sz="1800" b="1" baseline="0"/>
            <a:t>Not part of 2021 Update</a:t>
          </a:r>
          <a:endParaRPr lang="en-GB"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942975</xdr:colOff>
      <xdr:row>7</xdr:row>
      <xdr:rowOff>9525</xdr:rowOff>
    </xdr:from>
    <xdr:to>
      <xdr:col>13</xdr:col>
      <xdr:colOff>438150</xdr:colOff>
      <xdr:row>25</xdr:row>
      <xdr:rowOff>47625</xdr:rowOff>
    </xdr:to>
    <xdr:sp macro="" textlink="">
      <xdr:nvSpPr>
        <xdr:cNvPr id="3" name="TextBox 2">
          <a:extLst>
            <a:ext uri="{FF2B5EF4-FFF2-40B4-BE49-F238E27FC236}">
              <a16:creationId xmlns:a16="http://schemas.microsoft.com/office/drawing/2014/main" id="{8914C773-EDC6-4FA1-98BA-C1285D77472C}"/>
            </a:ext>
          </a:extLst>
        </xdr:cNvPr>
        <xdr:cNvSpPr txBox="1"/>
      </xdr:nvSpPr>
      <xdr:spPr>
        <a:xfrm>
          <a:off x="2733675" y="1743075"/>
          <a:ext cx="9563100" cy="39624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GB" sz="1800" b="1" baseline="0"/>
        </a:p>
        <a:p>
          <a:pPr algn="ctr"/>
          <a:r>
            <a:rPr lang="en-GB" sz="1100" b="1" baseline="0">
              <a:solidFill>
                <a:schemeClr val="dk1"/>
              </a:solidFill>
              <a:effectLst/>
              <a:latin typeface="+mn-lt"/>
              <a:ea typeface="+mn-ea"/>
              <a:cs typeface="+mn-cs"/>
            </a:rPr>
            <a:t>Not part of 2021 Update</a:t>
          </a:r>
          <a:endParaRPr lang="en-GB" sz="18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2877185</xdr:colOff>
      <xdr:row>2</xdr:row>
      <xdr:rowOff>1005840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111</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36</xdr:col>
      <xdr:colOff>79375</xdr:colOff>
      <xdr:row>2</xdr:row>
      <xdr:rowOff>142875</xdr:rowOff>
    </xdr:from>
    <xdr:ext cx="2790825" cy="866775"/>
    <xdr:pic>
      <xdr:nvPicPr>
        <xdr:cNvPr id="10" name="Picture 9" descr="Z:\Planning and Economic Dev\Policy and Conservation\Forward Planning\V. Garden Town\6. Comms, branding &amp; Community Engagement\04. Branding\00. GT Brand\HGGT_Logo.jpg">
          <a:extLst>
            <a:ext uri="{FF2B5EF4-FFF2-40B4-BE49-F238E27FC236}">
              <a16:creationId xmlns:a16="http://schemas.microsoft.com/office/drawing/2014/main" id="{9E1FFE28-5751-4FF0-9E10-08BF153D0F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36</xdr:col>
      <xdr:colOff>79375</xdr:colOff>
      <xdr:row>111</xdr:row>
      <xdr:rowOff>142875</xdr:rowOff>
    </xdr:from>
    <xdr:ext cx="2790825" cy="866775"/>
    <xdr:pic>
      <xdr:nvPicPr>
        <xdr:cNvPr id="11" name="Picture 10" descr="Z:\Planning and Economic Dev\Policy and Conservation\Forward Planning\V. Garden Town\6. Comms, branding &amp; Community Engagement\04. Branding\00. GT Brand\HGGT_Logo.jpg">
          <a:extLst>
            <a:ext uri="{FF2B5EF4-FFF2-40B4-BE49-F238E27FC236}">
              <a16:creationId xmlns:a16="http://schemas.microsoft.com/office/drawing/2014/main" id="{AE6FE270-DE17-4222-A28F-714E340596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133370411"/>
          <a:ext cx="2790825" cy="866775"/>
        </a:xfrm>
        <a:prstGeom prst="rect">
          <a:avLst/>
        </a:prstGeom>
        <a:noFill/>
        <a:ln>
          <a:noFill/>
        </a:ln>
      </xdr:spPr>
    </xdr:pic>
    <xdr:clientData/>
  </xdr:oneCellAnchor>
  <xdr:oneCellAnchor>
    <xdr:from>
      <xdr:col>36</xdr:col>
      <xdr:colOff>79375</xdr:colOff>
      <xdr:row>111</xdr:row>
      <xdr:rowOff>142875</xdr:rowOff>
    </xdr:from>
    <xdr:ext cx="2790825" cy="866775"/>
    <xdr:pic>
      <xdr:nvPicPr>
        <xdr:cNvPr id="14" name="Picture 13" descr="Z:\Planning and Economic Dev\Policy and Conservation\Forward Planning\V. Garden Town\6. Comms, branding &amp; Community Engagement\04. Branding\00. GT Brand\HGGT_Logo.jpg">
          <a:extLst>
            <a:ext uri="{FF2B5EF4-FFF2-40B4-BE49-F238E27FC236}">
              <a16:creationId xmlns:a16="http://schemas.microsoft.com/office/drawing/2014/main" id="{CC6DF06A-989C-499B-A2C7-8EDEB48B390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129587625"/>
          <a:ext cx="2790825" cy="866775"/>
        </a:xfrm>
        <a:prstGeom prst="rect">
          <a:avLst/>
        </a:prstGeom>
        <a:noFill/>
        <a:ln>
          <a:noFill/>
        </a:ln>
      </xdr:spPr>
    </xdr:pic>
    <xdr:clientData/>
  </xdr:oneCellAnchor>
  <xdr:oneCellAnchor>
    <xdr:from>
      <xdr:col>2</xdr:col>
      <xdr:colOff>79375</xdr:colOff>
      <xdr:row>27</xdr:row>
      <xdr:rowOff>142875</xdr:rowOff>
    </xdr:from>
    <xdr:ext cx="2790825" cy="866775"/>
    <xdr:pic>
      <xdr:nvPicPr>
        <xdr:cNvPr id="17" name="Picture 16" descr="Z:\Planning and Economic Dev\Policy and Conservation\Forward Planning\V. Garden Town\6. Comms, branding &amp; Community Engagement\04. Branding\00. GT Brand\HGGT_Logo.jpg">
          <a:extLst>
            <a:ext uri="{FF2B5EF4-FFF2-40B4-BE49-F238E27FC236}">
              <a16:creationId xmlns:a16="http://schemas.microsoft.com/office/drawing/2014/main" id="{3CE07D1E-C3A9-45AE-BBFF-FDD25F5B5E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36</xdr:col>
      <xdr:colOff>79375</xdr:colOff>
      <xdr:row>27</xdr:row>
      <xdr:rowOff>142875</xdr:rowOff>
    </xdr:from>
    <xdr:ext cx="2790825" cy="866775"/>
    <xdr:pic>
      <xdr:nvPicPr>
        <xdr:cNvPr id="18" name="Picture 17" descr="Z:\Planning and Economic Dev\Policy and Conservation\Forward Planning\V. Garden Town\6. Comms, branding &amp; Community Engagement\04. Branding\00. GT Brand\HGGT_Logo.jpg">
          <a:extLst>
            <a:ext uri="{FF2B5EF4-FFF2-40B4-BE49-F238E27FC236}">
              <a16:creationId xmlns:a16="http://schemas.microsoft.com/office/drawing/2014/main" id="{40102876-A6CB-4B31-8100-519140802A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85911" y="333375"/>
          <a:ext cx="2790825" cy="866775"/>
        </a:xfrm>
        <a:prstGeom prst="rect">
          <a:avLst/>
        </a:prstGeom>
        <a:noFill/>
        <a:ln>
          <a:noFill/>
        </a:ln>
      </xdr:spPr>
    </xdr:pic>
    <xdr:clientData/>
  </xdr:oneCellAnchor>
  <xdr:oneCellAnchor>
    <xdr:from>
      <xdr:col>2</xdr:col>
      <xdr:colOff>79375</xdr:colOff>
      <xdr:row>50</xdr:row>
      <xdr:rowOff>142875</xdr:rowOff>
    </xdr:from>
    <xdr:ext cx="2790825" cy="866775"/>
    <xdr:pic>
      <xdr:nvPicPr>
        <xdr:cNvPr id="21" name="Picture 20" descr="Z:\Planning and Economic Dev\Policy and Conservation\Forward Planning\V. Garden Town\6. Comms, branding &amp; Community Engagement\04. Branding\00. GT Brand\HGGT_Logo.jpg">
          <a:extLst>
            <a:ext uri="{FF2B5EF4-FFF2-40B4-BE49-F238E27FC236}">
              <a16:creationId xmlns:a16="http://schemas.microsoft.com/office/drawing/2014/main" id="{F678C318-DE7B-4757-8227-1CA9D8917F3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1452911"/>
          <a:ext cx="2790825" cy="866775"/>
        </a:xfrm>
        <a:prstGeom prst="rect">
          <a:avLst/>
        </a:prstGeom>
        <a:noFill/>
        <a:ln>
          <a:noFill/>
        </a:ln>
      </xdr:spPr>
    </xdr:pic>
    <xdr:clientData/>
  </xdr:oneCellAnchor>
  <xdr:oneCellAnchor>
    <xdr:from>
      <xdr:col>36</xdr:col>
      <xdr:colOff>79375</xdr:colOff>
      <xdr:row>50</xdr:row>
      <xdr:rowOff>142875</xdr:rowOff>
    </xdr:from>
    <xdr:ext cx="2790825" cy="866775"/>
    <xdr:pic>
      <xdr:nvPicPr>
        <xdr:cNvPr id="22" name="Picture 2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6719A80-F0E3-4E21-B3BD-F14C14300D3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85911" y="31452911"/>
          <a:ext cx="2790825" cy="866775"/>
        </a:xfrm>
        <a:prstGeom prst="rect">
          <a:avLst/>
        </a:prstGeom>
        <a:noFill/>
        <a:ln>
          <a:noFill/>
        </a:ln>
      </xdr:spPr>
    </xdr:pic>
    <xdr:clientData/>
  </xdr:oneCellAnchor>
  <xdr:oneCellAnchor>
    <xdr:from>
      <xdr:col>2</xdr:col>
      <xdr:colOff>79375</xdr:colOff>
      <xdr:row>96</xdr:row>
      <xdr:rowOff>136037</xdr:rowOff>
    </xdr:from>
    <xdr:ext cx="2790825" cy="866775"/>
    <xdr:pic>
      <xdr:nvPicPr>
        <xdr:cNvPr id="23" name="Picture 22" descr="Z:\Planning and Economic Dev\Policy and Conservation\Forward Planning\V. Garden Town\6. Comms, branding &amp; Community Engagement\04. Branding\00. GT Brand\HGGT_Logo.jpg">
          <a:extLst>
            <a:ext uri="{FF2B5EF4-FFF2-40B4-BE49-F238E27FC236}">
              <a16:creationId xmlns:a16="http://schemas.microsoft.com/office/drawing/2014/main" id="{A808FE90-7551-4BDA-8FB4-215BCA937B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5482" y="113483537"/>
          <a:ext cx="2790825" cy="866775"/>
        </a:xfrm>
        <a:prstGeom prst="rect">
          <a:avLst/>
        </a:prstGeom>
        <a:noFill/>
        <a:ln>
          <a:noFill/>
        </a:ln>
      </xdr:spPr>
    </xdr:pic>
    <xdr:clientData/>
  </xdr:oneCellAnchor>
  <xdr:oneCellAnchor>
    <xdr:from>
      <xdr:col>36</xdr:col>
      <xdr:colOff>79375</xdr:colOff>
      <xdr:row>96</xdr:row>
      <xdr:rowOff>176855</xdr:rowOff>
    </xdr:from>
    <xdr:ext cx="2790825" cy="866775"/>
    <xdr:pic>
      <xdr:nvPicPr>
        <xdr:cNvPr id="24" name="Picture 23" descr="Z:\Planning and Economic Dev\Policy and Conservation\Forward Planning\V. Garden Town\6. Comms, branding &amp; Community Engagement\04. Branding\00. GT Brand\HGGT_Logo.jpg">
          <a:extLst>
            <a:ext uri="{FF2B5EF4-FFF2-40B4-BE49-F238E27FC236}">
              <a16:creationId xmlns:a16="http://schemas.microsoft.com/office/drawing/2014/main" id="{B0740913-D410-40F0-9E47-0B27D4E8A3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812232" y="113524355"/>
          <a:ext cx="2790825" cy="866775"/>
        </a:xfrm>
        <a:prstGeom prst="rect">
          <a:avLst/>
        </a:prstGeom>
        <a:noFill/>
        <a:ln>
          <a:noFill/>
        </a:ln>
      </xdr:spPr>
    </xdr:pic>
    <xdr:clientData/>
  </xdr:oneCellAnchor>
  <xdr:oneCellAnchor>
    <xdr:from>
      <xdr:col>2</xdr:col>
      <xdr:colOff>79375</xdr:colOff>
      <xdr:row>72</xdr:row>
      <xdr:rowOff>142875</xdr:rowOff>
    </xdr:from>
    <xdr:ext cx="2790825" cy="866775"/>
    <xdr:pic>
      <xdr:nvPicPr>
        <xdr:cNvPr id="29" name="Picture 28" descr="Z:\Planning and Economic Dev\Policy and Conservation\Forward Planning\V. Garden Town\6. Comms, branding &amp; Community Engagement\04. Branding\00. GT Brand\HGGT_Logo.jpg">
          <a:extLst>
            <a:ext uri="{FF2B5EF4-FFF2-40B4-BE49-F238E27FC236}">
              <a16:creationId xmlns:a16="http://schemas.microsoft.com/office/drawing/2014/main" id="{6568D329-FD43-41AD-93EE-52A983956E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5482" y="56204304"/>
          <a:ext cx="2790825" cy="866775"/>
        </a:xfrm>
        <a:prstGeom prst="rect">
          <a:avLst/>
        </a:prstGeom>
        <a:noFill/>
        <a:ln>
          <a:noFill/>
        </a:ln>
      </xdr:spPr>
    </xdr:pic>
    <xdr:clientData/>
  </xdr:oneCellAnchor>
  <xdr:oneCellAnchor>
    <xdr:from>
      <xdr:col>36</xdr:col>
      <xdr:colOff>79375</xdr:colOff>
      <xdr:row>72</xdr:row>
      <xdr:rowOff>142875</xdr:rowOff>
    </xdr:from>
    <xdr:ext cx="2790825" cy="866775"/>
    <xdr:pic>
      <xdr:nvPicPr>
        <xdr:cNvPr id="30" name="Picture 29" descr="Z:\Planning and Economic Dev\Policy and Conservation\Forward Planning\V. Garden Town\6. Comms, branding &amp; Community Engagement\04. Branding\00. GT Brand\HGGT_Logo.jpg">
          <a:extLst>
            <a:ext uri="{FF2B5EF4-FFF2-40B4-BE49-F238E27FC236}">
              <a16:creationId xmlns:a16="http://schemas.microsoft.com/office/drawing/2014/main" id="{C2D66CC1-2A2C-47C5-A69C-BBFF4C02616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812232" y="56204304"/>
          <a:ext cx="2790825" cy="86677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2872740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43</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37A4069D-2325-4EBF-8853-2CA2CF04A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43</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6F87592A-0C2C-48EC-953E-ABE74FBF94B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44134768"/>
          <a:ext cx="2790825" cy="866775"/>
        </a:xfrm>
        <a:prstGeom prst="rect">
          <a:avLst/>
        </a:prstGeom>
        <a:noFill/>
        <a:ln>
          <a:noFill/>
        </a:ln>
      </xdr:spPr>
    </xdr:pic>
    <xdr:clientData/>
  </xdr:oneCellAnchor>
  <xdr:oneCellAnchor>
    <xdr:from>
      <xdr:col>2</xdr:col>
      <xdr:colOff>79375</xdr:colOff>
      <xdr:row>27</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42DAE1B5-4DA3-4521-A9FF-2527E94495F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27</xdr:row>
      <xdr:rowOff>142875</xdr:rowOff>
    </xdr:from>
    <xdr:ext cx="2790825" cy="866775"/>
    <xdr:pic>
      <xdr:nvPicPr>
        <xdr:cNvPr id="7" name="Picture 6" descr="Z:\Planning and Economic Dev\Policy and Conservation\Forward Planning\V. Garden Town\6. Comms, branding &amp; Community Engagement\04. Branding\00. GT Brand\HGGT_Logo.jpg">
          <a:extLst>
            <a:ext uri="{FF2B5EF4-FFF2-40B4-BE49-F238E27FC236}">
              <a16:creationId xmlns:a16="http://schemas.microsoft.com/office/drawing/2014/main" id="{C2DD35AF-5359-4B4D-8198-0371F79CA81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97982" y="333375"/>
          <a:ext cx="2790825" cy="866775"/>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79375</xdr:colOff>
      <xdr:row>2</xdr:row>
      <xdr:rowOff>142875</xdr:rowOff>
    </xdr:from>
    <xdr:ext cx="2790825" cy="866775"/>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oneCellAnchor>
  <xdr:oneCellAnchor>
    <xdr:from>
      <xdr:col>2</xdr:col>
      <xdr:colOff>79375</xdr:colOff>
      <xdr:row>22</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212312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5EAAEA34-91D7-4DC4-AD67-B625AAEFCB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22</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30D85751-9BD0-4E9A-AE99-D1AF5F91F8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946" y="24758196"/>
          <a:ext cx="2790825" cy="866775"/>
        </a:xfrm>
        <a:prstGeom prst="rect">
          <a:avLst/>
        </a:prstGeom>
        <a:noFill/>
        <a:ln>
          <a:noFill/>
        </a:ln>
      </xdr:spPr>
    </xdr:pic>
    <xdr:clientData/>
  </xdr:oneCellAnchor>
  <xdr:oneCellAnchor>
    <xdr:from>
      <xdr:col>35</xdr:col>
      <xdr:colOff>79375</xdr:colOff>
      <xdr:row>22</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1C0E0A43-20C2-4210-883A-8B0182E744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946" y="24758196"/>
          <a:ext cx="2790825" cy="866775"/>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2874010</xdr:colOff>
      <xdr:row>2</xdr:row>
      <xdr:rowOff>1005840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11</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212312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0B99F41E-9598-4C07-9BA0-D564BB922E4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11</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23C61B94-9568-4479-BA47-215E3F2775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11913054"/>
          <a:ext cx="2790825" cy="866775"/>
        </a:xfrm>
        <a:prstGeom prst="rect">
          <a:avLst/>
        </a:prstGeom>
        <a:noFill/>
        <a:ln>
          <a:noFill/>
        </a:ln>
      </xdr:spPr>
    </xdr:pic>
    <xdr:clientData/>
  </xdr:oneCellAnchor>
  <xdr:oneCellAnchor>
    <xdr:from>
      <xdr:col>35</xdr:col>
      <xdr:colOff>79375</xdr:colOff>
      <xdr:row>11</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ADC9874A-9615-49B6-873C-D87A670F29B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11913054"/>
          <a:ext cx="2790825" cy="866775"/>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2876550</xdr:colOff>
      <xdr:row>2</xdr:row>
      <xdr:rowOff>1005840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21</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988A1E3B-4326-4878-824C-00A3C2AA2D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21</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5C543A05-13DD-49F5-A9A1-04ED501182A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24975911"/>
          <a:ext cx="2790825" cy="866775"/>
        </a:xfrm>
        <a:prstGeom prst="rect">
          <a:avLst/>
        </a:prstGeom>
        <a:noFill/>
        <a:ln>
          <a:noFill/>
        </a:ln>
      </xdr:spPr>
    </xdr:pic>
    <xdr:clientData/>
  </xdr:oneCellAnchor>
  <xdr:oneCellAnchor>
    <xdr:from>
      <xdr:col>35</xdr:col>
      <xdr:colOff>79375</xdr:colOff>
      <xdr:row>21</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398142CB-EE7A-43B8-9F75-D003E1166C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25356911"/>
          <a:ext cx="2790825" cy="8667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2872740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46</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C558F4B2-E686-4D71-9AE7-D912B16ED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46</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05F61717-7913-4F56-9F82-7505AB0B33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56803018"/>
          <a:ext cx="2790825" cy="866775"/>
        </a:xfrm>
        <a:prstGeom prst="rect">
          <a:avLst/>
        </a:prstGeom>
        <a:noFill/>
        <a:ln>
          <a:noFill/>
        </a:ln>
      </xdr:spPr>
    </xdr:pic>
    <xdr:clientData/>
  </xdr:oneCellAnchor>
  <xdr:oneCellAnchor>
    <xdr:from>
      <xdr:col>2</xdr:col>
      <xdr:colOff>79375</xdr:colOff>
      <xdr:row>26</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A4E34D78-0589-4BFA-BAFD-C0D3F56685E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26</xdr:row>
      <xdr:rowOff>142875</xdr:rowOff>
    </xdr:from>
    <xdr:ext cx="2790825" cy="866775"/>
    <xdr:pic>
      <xdr:nvPicPr>
        <xdr:cNvPr id="7" name="Picture 6" descr="Z:\Planning and Economic Dev\Policy and Conservation\Forward Planning\V. Garden Town\6. Comms, branding &amp; Community Engagement\04. Branding\00. GT Brand\HGGT_Logo.jpg">
          <a:extLst>
            <a:ext uri="{FF2B5EF4-FFF2-40B4-BE49-F238E27FC236}">
              <a16:creationId xmlns:a16="http://schemas.microsoft.com/office/drawing/2014/main" id="{9E67FAD8-1F83-4106-9679-F5890E3B462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97982" y="333375"/>
          <a:ext cx="2790825" cy="866775"/>
        </a:xfrm>
        <a:prstGeom prst="rect">
          <a:avLst/>
        </a:prstGeom>
        <a:noFill/>
        <a:ln>
          <a:noFill/>
        </a:ln>
      </xdr:spPr>
    </xdr:pic>
    <xdr:clientData/>
  </xdr:oneCellAnchor>
  <xdr:oneCellAnchor>
    <xdr:from>
      <xdr:col>35</xdr:col>
      <xdr:colOff>79375</xdr:colOff>
      <xdr:row>46</xdr:row>
      <xdr:rowOff>142875</xdr:rowOff>
    </xdr:from>
    <xdr:ext cx="2790825" cy="866775"/>
    <xdr:pic>
      <xdr:nvPicPr>
        <xdr:cNvPr id="8" name="Picture 7" descr="Z:\Planning and Economic Dev\Policy and Conservation\Forward Planning\V. Garden Town\6. Comms, branding &amp; Community Engagement\04. Branding\00. GT Brand\HGGT_Logo.jpg">
          <a:extLst>
            <a:ext uri="{FF2B5EF4-FFF2-40B4-BE49-F238E27FC236}">
              <a16:creationId xmlns:a16="http://schemas.microsoft.com/office/drawing/2014/main" id="{D8592139-F742-4791-9348-E0AABFAEEB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59456411"/>
          <a:ext cx="2790825" cy="866775"/>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rojects\HGGT0003%20-%20HGGT%20IDP%20Update%202021-22\20190414_HGGT_IDP_2019_Schedu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lobal.arup.com\london\263000\263366-00%20%20-%20Harlow%20&amp;%20Gilston%20Infrastructure%20Plan\4%20Internal%20Project%20Data\03%20Schedule\c%20Draft%202\20181012_3.1_HaGIDP%20Schedu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Site"/>
      <sheetName val="Summary by Strategic Site"/>
      <sheetName val="Summary by Site - Land Variant"/>
      <sheetName val="Summary by SS - Land Variant"/>
      <sheetName val="Summary by Topic"/>
      <sheetName val="Transport"/>
      <sheetName val="Education"/>
      <sheetName val="Healthcare "/>
      <sheetName val="Emergency Services"/>
      <sheetName val="Community Facilities"/>
      <sheetName val="Open Space"/>
      <sheetName val="Sports and Leisure"/>
      <sheetName val="Utilities"/>
      <sheetName val="Flood Defence"/>
      <sheetName val="Arup internal working &gt;&gt;&gt;"/>
      <sheetName val="Information Grading"/>
      <sheetName val="Apportionment %"/>
      <sheetName val="Land Variant"/>
      <sheetName val="Phasing"/>
      <sheetName val="Costs (Arup)"/>
      <sheetName val="Cost Back up (Arup)"/>
      <sheetName val="HCC Education Costs"/>
    </sheetNames>
    <sheetDataSet>
      <sheetData sheetId="0">
        <row r="16">
          <cell r="C16">
            <v>36114902.697166629</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ow r="4">
          <cell r="C4">
            <v>750</v>
          </cell>
          <cell r="D4">
            <v>2600</v>
          </cell>
          <cell r="E4">
            <v>1050</v>
          </cell>
          <cell r="F4">
            <v>807</v>
          </cell>
          <cell r="G4">
            <v>1331</v>
          </cell>
          <cell r="H4">
            <v>8500</v>
          </cell>
          <cell r="I4">
            <v>1500</v>
          </cell>
          <cell r="J4">
            <v>650</v>
          </cell>
          <cell r="K4">
            <v>70</v>
          </cell>
          <cell r="L4">
            <v>69</v>
          </cell>
          <cell r="M4">
            <v>42</v>
          </cell>
          <cell r="N4">
            <v>36</v>
          </cell>
          <cell r="O4">
            <v>35</v>
          </cell>
          <cell r="P4">
            <v>35</v>
          </cell>
          <cell r="Q4">
            <v>35</v>
          </cell>
          <cell r="R4">
            <v>23</v>
          </cell>
          <cell r="S4">
            <v>20</v>
          </cell>
          <cell r="T4">
            <v>16</v>
          </cell>
          <cell r="U4">
            <v>16</v>
          </cell>
          <cell r="V4">
            <v>15</v>
          </cell>
          <cell r="W4">
            <v>13</v>
          </cell>
          <cell r="X4">
            <v>12</v>
          </cell>
          <cell r="Y4">
            <v>10</v>
          </cell>
          <cell r="Z4">
            <v>10</v>
          </cell>
          <cell r="AA4">
            <v>10</v>
          </cell>
          <cell r="AB4">
            <v>10</v>
          </cell>
          <cell r="AC4">
            <v>10</v>
          </cell>
          <cell r="AD4">
            <v>10</v>
          </cell>
        </row>
        <row r="5">
          <cell r="F5">
            <v>0.37745556594948548</v>
          </cell>
          <cell r="G5">
            <v>0.62254443405051452</v>
          </cell>
        </row>
        <row r="6">
          <cell r="J6">
            <v>0.56669572798605061</v>
          </cell>
          <cell r="K6">
            <v>6.1028770706190061E-2</v>
          </cell>
          <cell r="L6">
            <v>6.015693112467306E-2</v>
          </cell>
          <cell r="M6">
            <v>3.6617262423714034E-2</v>
          </cell>
          <cell r="N6">
            <v>3.1386224934612031E-2</v>
          </cell>
          <cell r="O6">
            <v>3.051438535309503E-2</v>
          </cell>
          <cell r="P6">
            <v>3.051438535309503E-2</v>
          </cell>
          <cell r="Q6">
            <v>3.051438535309503E-2</v>
          </cell>
          <cell r="R6">
            <v>2.0052310374891021E-2</v>
          </cell>
          <cell r="S6">
            <v>1.7436791630340016E-2</v>
          </cell>
          <cell r="T6">
            <v>1.3949433304272014E-2</v>
          </cell>
          <cell r="U6">
            <v>1.3949433304272014E-2</v>
          </cell>
          <cell r="V6">
            <v>1.3077593722755012E-2</v>
          </cell>
          <cell r="W6">
            <v>1.1333914559721011E-2</v>
          </cell>
          <cell r="X6">
            <v>1.0462074978204011E-2</v>
          </cell>
          <cell r="Y6">
            <v>8.7183958151700082E-3</v>
          </cell>
          <cell r="Z6">
            <v>8.7183958151700082E-3</v>
          </cell>
          <cell r="AA6">
            <v>8.7183958151700082E-3</v>
          </cell>
          <cell r="AB6">
            <v>8.7183958151700082E-3</v>
          </cell>
          <cell r="AC6">
            <v>8.7183958151700082E-3</v>
          </cell>
          <cell r="AD6">
            <v>8.7183958151700082E-3</v>
          </cell>
        </row>
        <row r="8">
          <cell r="C8">
            <v>4.3635094251803584E-2</v>
          </cell>
          <cell r="D8">
            <v>0.15126832673958576</v>
          </cell>
          <cell r="E8">
            <v>6.1089131952525015E-2</v>
          </cell>
          <cell r="F8">
            <v>4.6951361414940655E-2</v>
          </cell>
          <cell r="G8">
            <v>7.7437747265534096E-2</v>
          </cell>
          <cell r="H8">
            <v>0.49453106818710729</v>
          </cell>
          <cell r="I8">
            <v>8.7270188503607168E-2</v>
          </cell>
          <cell r="J8">
            <v>3.7817081684896441E-2</v>
          </cell>
        </row>
        <row r="9">
          <cell r="H9">
            <v>0.85</v>
          </cell>
          <cell r="I9">
            <v>0.15</v>
          </cell>
        </row>
        <row r="10">
          <cell r="C10">
            <v>0.10434056761268781</v>
          </cell>
          <cell r="D10">
            <v>0.3617139677239844</v>
          </cell>
          <cell r="E10">
            <v>0.14607679465776294</v>
          </cell>
          <cell r="F10">
            <v>0.11227045075125208</v>
          </cell>
          <cell r="G10">
            <v>0.18516972732331663</v>
          </cell>
          <cell r="J10">
            <v>9.0428491930996099E-2</v>
          </cell>
        </row>
        <row r="12">
          <cell r="K12">
            <v>0.14084507042253522</v>
          </cell>
          <cell r="L12">
            <v>0.13883299798792756</v>
          </cell>
          <cell r="M12">
            <v>8.4507042253521125E-2</v>
          </cell>
          <cell r="N12">
            <v>7.2434607645875254E-2</v>
          </cell>
          <cell r="O12">
            <v>7.0422535211267609E-2</v>
          </cell>
          <cell r="P12">
            <v>7.0422535211267609E-2</v>
          </cell>
          <cell r="Q12">
            <v>7.0422535211267609E-2</v>
          </cell>
          <cell r="R12">
            <v>4.6277665995975853E-2</v>
          </cell>
          <cell r="S12">
            <v>4.0241448692152917E-2</v>
          </cell>
          <cell r="T12">
            <v>3.2193158953722337E-2</v>
          </cell>
          <cell r="U12">
            <v>3.2193158953722337E-2</v>
          </cell>
          <cell r="V12">
            <v>3.0181086519114688E-2</v>
          </cell>
          <cell r="W12">
            <v>2.6156941649899398E-2</v>
          </cell>
          <cell r="X12">
            <v>2.4144869215291749E-2</v>
          </cell>
          <cell r="Y12">
            <v>2.0120724346076459E-2</v>
          </cell>
          <cell r="Z12">
            <v>2.0120724346076459E-2</v>
          </cell>
          <cell r="AA12">
            <v>2.0120724346076459E-2</v>
          </cell>
          <cell r="AB12">
            <v>2.0120724346076459E-2</v>
          </cell>
          <cell r="AC12">
            <v>2.0120724346076459E-2</v>
          </cell>
          <cell r="AD12">
            <v>2.0120724346076459E-2</v>
          </cell>
        </row>
        <row r="15">
          <cell r="C15">
            <v>4.2832667047401483E-2</v>
          </cell>
          <cell r="D15">
            <v>0.14848657909765847</v>
          </cell>
          <cell r="E15">
            <v>5.996573386636208E-2</v>
          </cell>
          <cell r="F15">
            <v>4.6087949743003995E-2</v>
          </cell>
          <cell r="G15">
            <v>7.6013706453455163E-2</v>
          </cell>
          <cell r="H15">
            <v>0.4854368932038835</v>
          </cell>
          <cell r="I15">
            <v>8.5665334094802967E-2</v>
          </cell>
          <cell r="J15">
            <v>3.7121644774414618E-2</v>
          </cell>
          <cell r="K15">
            <v>3.9977155910908054E-3</v>
          </cell>
          <cell r="L15">
            <v>3.9406053683609362E-3</v>
          </cell>
          <cell r="M15">
            <v>2.3986293546544831E-3</v>
          </cell>
          <cell r="N15">
            <v>2.0559680182752711E-3</v>
          </cell>
          <cell r="O15">
            <v>1.9988577955454027E-3</v>
          </cell>
          <cell r="P15">
            <v>1.9988577955454027E-3</v>
          </cell>
          <cell r="Q15">
            <v>1.9988577955454027E-3</v>
          </cell>
        </row>
        <row r="18">
          <cell r="C18">
            <v>4.2408821034775231E-2</v>
          </cell>
          <cell r="D18">
            <v>0.14701724625388748</v>
          </cell>
          <cell r="E18">
            <v>5.937234944868533E-2</v>
          </cell>
          <cell r="F18">
            <v>4.5631891433418149E-2</v>
          </cell>
          <cell r="G18">
            <v>7.5261521063047787E-2</v>
          </cell>
          <cell r="H18">
            <v>0.480633305060786</v>
          </cell>
          <cell r="I18">
            <v>8.4817642069550461E-2</v>
          </cell>
          <cell r="J18">
            <v>3.6754311563471871E-2</v>
          </cell>
          <cell r="K18">
            <v>3.9581566299123549E-3</v>
          </cell>
          <cell r="L18">
            <v>3.9016115351993216E-3</v>
          </cell>
          <cell r="M18">
            <v>2.374893977947413E-3</v>
          </cell>
          <cell r="N18">
            <v>2.0356234096692112E-3</v>
          </cell>
          <cell r="O18">
            <v>1.9790783149561775E-3</v>
          </cell>
          <cell r="P18">
            <v>1.9790783149561775E-3</v>
          </cell>
          <cell r="Q18">
            <v>1.9790783149561775E-3</v>
          </cell>
          <cell r="R18">
            <v>1.3005371783997737E-3</v>
          </cell>
          <cell r="S18">
            <v>1.1309018942606728E-3</v>
          </cell>
          <cell r="T18">
            <v>9.0472151540853826E-4</v>
          </cell>
          <cell r="U18">
            <v>9.0472151540853826E-4</v>
          </cell>
          <cell r="V18">
            <v>8.4817642069550466E-4</v>
          </cell>
          <cell r="W18">
            <v>7.3508623126943733E-4</v>
          </cell>
          <cell r="X18">
            <v>6.7854113655640372E-4</v>
          </cell>
          <cell r="Y18">
            <v>5.654509471303364E-4</v>
          </cell>
          <cell r="Z18">
            <v>5.654509471303364E-4</v>
          </cell>
          <cell r="AA18">
            <v>5.654509471303364E-4</v>
          </cell>
          <cell r="AB18">
            <v>5.654509471303364E-4</v>
          </cell>
          <cell r="AC18">
            <v>5.654509471303364E-4</v>
          </cell>
          <cell r="AD18">
            <v>5.654509471303364E-4</v>
          </cell>
        </row>
        <row r="19">
          <cell r="C19">
            <v>0.22388059701492538</v>
          </cell>
          <cell r="D19">
            <v>0.77611940298507465</v>
          </cell>
        </row>
        <row r="21">
          <cell r="D21">
            <v>0.99540581929555894</v>
          </cell>
          <cell r="X21">
            <v>4.5941807044410417E-3</v>
          </cell>
        </row>
        <row r="22">
          <cell r="J22">
            <v>0.98484848484848486</v>
          </cell>
          <cell r="Z22">
            <v>1.5151515151515152E-2</v>
          </cell>
        </row>
        <row r="23">
          <cell r="B23">
            <v>26</v>
          </cell>
          <cell r="U23">
            <v>0.61538461538461542</v>
          </cell>
          <cell r="AC23">
            <v>0.38461538461538464</v>
          </cell>
        </row>
        <row r="24">
          <cell r="B24">
            <v>74</v>
          </cell>
          <cell r="Q24">
            <v>0.47297297297297297</v>
          </cell>
          <cell r="T24">
            <v>0.21621621621621623</v>
          </cell>
          <cell r="W24">
            <v>0.17567567567567569</v>
          </cell>
          <cell r="AA24">
            <v>0.13513513513513514</v>
          </cell>
        </row>
        <row r="25">
          <cell r="B25">
            <v>58</v>
          </cell>
          <cell r="P25">
            <v>0.60344827586206895</v>
          </cell>
          <cell r="R25">
            <v>0.39655172413793105</v>
          </cell>
        </row>
        <row r="27">
          <cell r="N27">
            <v>0.50704225352112675</v>
          </cell>
          <cell r="O27">
            <v>0.49295774647887325</v>
          </cell>
        </row>
      </sheetData>
      <sheetData sheetId="17" refreshError="1"/>
      <sheetData sheetId="18">
        <row r="22">
          <cell r="D22">
            <v>0</v>
          </cell>
          <cell r="E22">
            <v>0.33333333333333331</v>
          </cell>
          <cell r="F22">
            <v>0.66666666666666663</v>
          </cell>
          <cell r="G22">
            <v>0</v>
          </cell>
          <cell r="H22">
            <v>0</v>
          </cell>
          <cell r="I22">
            <v>0</v>
          </cell>
        </row>
        <row r="23">
          <cell r="D23">
            <v>0.28846153846153844</v>
          </cell>
          <cell r="E23">
            <v>0.44230769230769229</v>
          </cell>
          <cell r="F23">
            <v>0.26923076923076922</v>
          </cell>
          <cell r="G23">
            <v>0</v>
          </cell>
          <cell r="H23">
            <v>0</v>
          </cell>
          <cell r="I23">
            <v>0</v>
          </cell>
        </row>
        <row r="24">
          <cell r="D24">
            <v>4.7619047619047616E-2</v>
          </cell>
          <cell r="E24">
            <v>0.47619047619047616</v>
          </cell>
          <cell r="F24">
            <v>0.47619047619047616</v>
          </cell>
          <cell r="G24">
            <v>0</v>
          </cell>
          <cell r="H24">
            <v>0</v>
          </cell>
          <cell r="I24">
            <v>0</v>
          </cell>
        </row>
        <row r="27">
          <cell r="D27">
            <v>4.7619047619047616E-2</v>
          </cell>
          <cell r="E27">
            <v>0.47619047619047616</v>
          </cell>
          <cell r="F27">
            <v>0.47619047619047616</v>
          </cell>
          <cell r="G27">
            <v>0</v>
          </cell>
          <cell r="H27">
            <v>0</v>
          </cell>
          <cell r="I27">
            <v>0</v>
          </cell>
        </row>
        <row r="28">
          <cell r="D28">
            <v>2.1666666666666667E-2</v>
          </cell>
          <cell r="E28">
            <v>0.13333333333333333</v>
          </cell>
          <cell r="F28">
            <v>0.15</v>
          </cell>
          <cell r="G28">
            <v>0.15</v>
          </cell>
          <cell r="H28">
            <v>0.15</v>
          </cell>
          <cell r="I28">
            <v>0.39500000000000002</v>
          </cell>
        </row>
        <row r="29">
          <cell r="D29">
            <v>2.5529411764705884E-2</v>
          </cell>
          <cell r="E29">
            <v>9.8000000000000004E-2</v>
          </cell>
          <cell r="F29">
            <v>0.11764705882352941</v>
          </cell>
          <cell r="G29">
            <v>0.11764705882352941</v>
          </cell>
          <cell r="H29">
            <v>0.17647058823529413</v>
          </cell>
          <cell r="I29">
            <v>0.46470588235294119</v>
          </cell>
        </row>
        <row r="30">
          <cell r="D30">
            <v>0</v>
          </cell>
          <cell r="E30">
            <v>0.33333333333333331</v>
          </cell>
          <cell r="F30">
            <v>0.33333333333333331</v>
          </cell>
          <cell r="G30">
            <v>0.33333333333333331</v>
          </cell>
          <cell r="H30">
            <v>0</v>
          </cell>
          <cell r="I30">
            <v>0</v>
          </cell>
        </row>
        <row r="31">
          <cell r="D31">
            <v>0.17959895379250218</v>
          </cell>
          <cell r="E31">
            <v>0.1054925893635571</v>
          </cell>
          <cell r="F31">
            <v>0.71490845684394067</v>
          </cell>
          <cell r="G31">
            <v>0</v>
          </cell>
          <cell r="H31">
            <v>0</v>
          </cell>
          <cell r="I31">
            <v>0</v>
          </cell>
        </row>
        <row r="34">
          <cell r="D34">
            <v>6.7676767676767682E-2</v>
          </cell>
          <cell r="E34">
            <v>0.25656565656565655</v>
          </cell>
          <cell r="F34">
            <v>0.25454545454545452</v>
          </cell>
          <cell r="G34">
            <v>9.0909090909090912E-2</v>
          </cell>
          <cell r="H34">
            <v>9.0909090909090912E-2</v>
          </cell>
          <cell r="I34">
            <v>0.23939393939393938</v>
          </cell>
        </row>
        <row r="35">
          <cell r="D35">
            <v>0.22388059701492538</v>
          </cell>
          <cell r="E35">
            <v>0.41791044776119401</v>
          </cell>
          <cell r="F35">
            <v>0.35820895522388058</v>
          </cell>
          <cell r="G35">
            <v>0</v>
          </cell>
          <cell r="H35">
            <v>0</v>
          </cell>
          <cell r="I35">
            <v>0</v>
          </cell>
        </row>
      </sheetData>
      <sheetData sheetId="19">
        <row r="11">
          <cell r="D11">
            <v>2439</v>
          </cell>
          <cell r="F11">
            <v>6.875</v>
          </cell>
        </row>
        <row r="15">
          <cell r="F15">
            <v>45053.649999999994</v>
          </cell>
        </row>
        <row r="16">
          <cell r="F16">
            <v>39099.899999999994</v>
          </cell>
        </row>
        <row r="18">
          <cell r="D18">
            <v>2221</v>
          </cell>
        </row>
        <row r="20">
          <cell r="D20">
            <v>2126</v>
          </cell>
        </row>
        <row r="35">
          <cell r="D35">
            <v>2341</v>
          </cell>
        </row>
        <row r="56">
          <cell r="C56">
            <v>300000</v>
          </cell>
        </row>
        <row r="57">
          <cell r="C57">
            <v>50000</v>
          </cell>
        </row>
        <row r="58">
          <cell r="C58">
            <v>25000</v>
          </cell>
        </row>
        <row r="59">
          <cell r="C59">
            <v>140000</v>
          </cell>
        </row>
        <row r="64">
          <cell r="F64">
            <v>73.5</v>
          </cell>
        </row>
        <row r="65">
          <cell r="F65">
            <v>132.30000000000001</v>
          </cell>
        </row>
        <row r="186">
          <cell r="G186">
            <v>10016000</v>
          </cell>
        </row>
        <row r="187">
          <cell r="G187">
            <v>11015680</v>
          </cell>
        </row>
      </sheetData>
      <sheetData sheetId="20" refreshError="1"/>
      <sheetData sheetId="21">
        <row r="5">
          <cell r="T5">
            <v>74071820.199780002</v>
          </cell>
        </row>
        <row r="7">
          <cell r="T7">
            <v>38303511.569279999</v>
          </cell>
        </row>
        <row r="16">
          <cell r="T16">
            <v>11450464.178220004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sheetName val="Education"/>
      <sheetName val="Healthcare "/>
      <sheetName val="Emergency Services"/>
      <sheetName val="Community Facilities"/>
      <sheetName val="Open Space"/>
      <sheetName val="Sports Facilities"/>
      <sheetName val="Sheet2"/>
      <sheetName val="Utilities"/>
      <sheetName val="Sheet1"/>
      <sheetName val="Flood Defence"/>
      <sheetName val="Arup internal working &gt;&gt;&gt;"/>
      <sheetName val="Apportionment %"/>
      <sheetName val="Phasing"/>
      <sheetName val="Costs (Arup)"/>
      <sheetName val="Cost Back up (Arup)"/>
      <sheetName val="Outstanding Questions"/>
      <sheetName val="External documents"/>
      <sheetName val="Flood Defences"/>
      <sheetName val="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F5">
            <v>0.38092672413793105</v>
          </cell>
          <cell r="G5">
            <v>0.61907327586206895</v>
          </cell>
        </row>
        <row r="9">
          <cell r="H9">
            <v>0.85</v>
          </cell>
          <cell r="I9">
            <v>0.15</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essexhighways.org/m11-junction-7a"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B2:I15"/>
  <sheetViews>
    <sheetView showGridLines="0" workbookViewId="0">
      <selection activeCell="D28" sqref="D28"/>
    </sheetView>
  </sheetViews>
  <sheetFormatPr defaultColWidth="8.90625" defaultRowHeight="14" x14ac:dyDescent="0.3"/>
  <cols>
    <col min="1" max="1" width="4.54296875" style="4" customWidth="1"/>
    <col min="2" max="2" width="22.08984375" style="4" customWidth="1"/>
    <col min="3" max="7" width="16.90625" style="4" customWidth="1"/>
    <col min="8" max="8" width="8.90625" style="4"/>
    <col min="9" max="9" width="14.90625" style="4" bestFit="1" customWidth="1"/>
    <col min="10" max="16384" width="8.90625" style="4"/>
  </cols>
  <sheetData>
    <row r="2" spans="2:9" x14ac:dyDescent="0.3">
      <c r="B2" s="5" t="s">
        <v>0</v>
      </c>
    </row>
    <row r="3" spans="2:9" ht="14.5" thickBot="1" x14ac:dyDescent="0.35"/>
    <row r="4" spans="2:9" ht="28.5" thickBot="1" x14ac:dyDescent="0.35">
      <c r="B4" s="193"/>
      <c r="C4" s="193" t="s">
        <v>1</v>
      </c>
      <c r="D4" s="194" t="s">
        <v>2</v>
      </c>
      <c r="E4" s="194" t="s">
        <v>3</v>
      </c>
      <c r="F4" s="194" t="s">
        <v>4</v>
      </c>
      <c r="G4" s="194" t="s">
        <v>5</v>
      </c>
    </row>
    <row r="5" spans="2:9" ht="14.5" thickBot="1" x14ac:dyDescent="0.35">
      <c r="B5" s="190" t="s">
        <v>6</v>
      </c>
      <c r="C5" s="195" t="e">
        <f>#REF!</f>
        <v>#REF!</v>
      </c>
      <c r="D5" s="195" t="e">
        <f>#REF!</f>
        <v>#REF!</v>
      </c>
      <c r="E5" s="195" t="e">
        <f>#REF!</f>
        <v>#REF!</v>
      </c>
      <c r="F5" s="195" t="e">
        <f>#REF!</f>
        <v>#REF!</v>
      </c>
      <c r="G5" s="195" t="e">
        <f>#REF!</f>
        <v>#REF!</v>
      </c>
      <c r="I5" s="285"/>
    </row>
    <row r="6" spans="2:9" ht="14.5" thickBot="1" x14ac:dyDescent="0.35">
      <c r="B6" s="190" t="s">
        <v>7</v>
      </c>
      <c r="C6" s="195" t="e">
        <f>#REF!</f>
        <v>#REF!</v>
      </c>
      <c r="D6" s="195" t="e">
        <f>#REF!</f>
        <v>#REF!</v>
      </c>
      <c r="E6" s="195" t="e">
        <f>#REF!</f>
        <v>#REF!</v>
      </c>
      <c r="F6" s="195" t="e">
        <f>#REF!</f>
        <v>#REF!</v>
      </c>
      <c r="G6" s="195" t="e">
        <f>#REF!</f>
        <v>#REF!</v>
      </c>
    </row>
    <row r="7" spans="2:9" ht="14.5" thickBot="1" x14ac:dyDescent="0.35">
      <c r="B7" s="190" t="s">
        <v>8</v>
      </c>
      <c r="C7" s="195" t="e">
        <f>#REF!</f>
        <v>#REF!</v>
      </c>
      <c r="D7" s="195" t="e">
        <f>#REF!</f>
        <v>#REF!</v>
      </c>
      <c r="E7" s="195" t="e">
        <f>#REF!</f>
        <v>#REF!</v>
      </c>
      <c r="F7" s="195" t="e">
        <f>#REF!</f>
        <v>#REF!</v>
      </c>
      <c r="G7" s="195" t="e">
        <f>#REF!</f>
        <v>#REF!</v>
      </c>
    </row>
    <row r="8" spans="2:9" ht="14.5" thickBot="1" x14ac:dyDescent="0.35">
      <c r="B8" s="190" t="s">
        <v>9</v>
      </c>
      <c r="C8" s="195" t="e">
        <f>#REF!</f>
        <v>#REF!</v>
      </c>
      <c r="D8" s="195" t="e">
        <f>#REF!</f>
        <v>#REF!</v>
      </c>
      <c r="E8" s="195" t="e">
        <f>#REF!</f>
        <v>#REF!</v>
      </c>
      <c r="F8" s="195" t="e">
        <f>#REF!</f>
        <v>#REF!</v>
      </c>
      <c r="G8" s="195" t="e">
        <f>#REF!</f>
        <v>#REF!</v>
      </c>
    </row>
    <row r="9" spans="2:9" ht="14.5" thickBot="1" x14ac:dyDescent="0.35">
      <c r="B9" s="190" t="s">
        <v>10</v>
      </c>
      <c r="C9" s="195" t="e">
        <f>#REF!</f>
        <v>#REF!</v>
      </c>
      <c r="D9" s="195" t="e">
        <f>#REF!</f>
        <v>#REF!</v>
      </c>
      <c r="E9" s="195" t="e">
        <f>#REF!</f>
        <v>#REF!</v>
      </c>
      <c r="F9" s="195" t="e">
        <f>#REF!</f>
        <v>#REF!</v>
      </c>
      <c r="G9" s="195" t="e">
        <f>#REF!</f>
        <v>#REF!</v>
      </c>
    </row>
    <row r="10" spans="2:9" ht="14.5" thickBot="1" x14ac:dyDescent="0.35">
      <c r="B10" s="190" t="s">
        <v>11</v>
      </c>
      <c r="C10" s="195" t="e">
        <f>#REF!</f>
        <v>#REF!</v>
      </c>
      <c r="D10" s="195" t="e">
        <f>#REF!</f>
        <v>#REF!</v>
      </c>
      <c r="E10" s="195" t="e">
        <f>#REF!</f>
        <v>#REF!</v>
      </c>
      <c r="F10" s="195" t="e">
        <f>#REF!</f>
        <v>#REF!</v>
      </c>
      <c r="G10" s="195" t="e">
        <f>#REF!</f>
        <v>#REF!</v>
      </c>
    </row>
    <row r="11" spans="2:9" ht="14.5" thickBot="1" x14ac:dyDescent="0.35">
      <c r="B11" s="190" t="s">
        <v>12</v>
      </c>
      <c r="C11" s="195" t="e">
        <f>#REF!</f>
        <v>#REF!</v>
      </c>
      <c r="D11" s="195" t="e">
        <f>#REF!</f>
        <v>#REF!</v>
      </c>
      <c r="E11" s="195" t="e">
        <f>#REF!</f>
        <v>#REF!</v>
      </c>
      <c r="F11" s="195" t="e">
        <f>#REF!</f>
        <v>#REF!</v>
      </c>
      <c r="G11" s="195" t="e">
        <f>#REF!</f>
        <v>#REF!</v>
      </c>
    </row>
    <row r="12" spans="2:9" ht="14.5" thickBot="1" x14ac:dyDescent="0.35">
      <c r="B12" s="190" t="s">
        <v>13</v>
      </c>
      <c r="C12" s="195" t="e">
        <f>#REF!</f>
        <v>#REF!</v>
      </c>
      <c r="D12" s="195" t="e">
        <f>#REF!</f>
        <v>#REF!</v>
      </c>
      <c r="E12" s="195" t="e">
        <f>#REF!</f>
        <v>#REF!</v>
      </c>
      <c r="F12" s="195" t="e">
        <f>#REF!</f>
        <v>#REF!</v>
      </c>
      <c r="G12" s="195" t="e">
        <f>#REF!</f>
        <v>#REF!</v>
      </c>
    </row>
    <row r="13" spans="2:9" ht="14.5" thickBot="1" x14ac:dyDescent="0.35">
      <c r="B13" s="190" t="s">
        <v>14</v>
      </c>
      <c r="C13" s="195" t="e">
        <f>#REF!</f>
        <v>#REF!</v>
      </c>
      <c r="D13" s="195" t="e">
        <f>#REF!</f>
        <v>#REF!</v>
      </c>
      <c r="E13" s="195" t="e">
        <f>#REF!</f>
        <v>#REF!</v>
      </c>
      <c r="F13" s="195" t="e">
        <f>#REF!</f>
        <v>#REF!</v>
      </c>
      <c r="G13" s="195" t="e">
        <f>#REF!</f>
        <v>#REF!</v>
      </c>
    </row>
    <row r="14" spans="2:9" ht="14.5" thickBot="1" x14ac:dyDescent="0.35">
      <c r="B14" s="5"/>
    </row>
    <row r="15" spans="2:9" s="5" customFormat="1" ht="14.5" thickBot="1" x14ac:dyDescent="0.35">
      <c r="B15" s="190" t="s">
        <v>15</v>
      </c>
      <c r="C15" s="192" t="e">
        <f>SUM(C5:C13)</f>
        <v>#REF!</v>
      </c>
      <c r="D15" s="192" t="e">
        <f>SUM(D5:D13)</f>
        <v>#REF!</v>
      </c>
      <c r="E15" s="192" t="e">
        <f>SUM(E5:E13)</f>
        <v>#REF!</v>
      </c>
      <c r="F15" s="192" t="e">
        <f>SUM(F5:F13)</f>
        <v>#REF!</v>
      </c>
      <c r="G15" s="192" t="e">
        <f>SUM(G5:G13)</f>
        <v>#REF!</v>
      </c>
    </row>
  </sheetData>
  <conditionalFormatting sqref="B4:C4">
    <cfRule type="containsText" dxfId="681" priority="8" operator="containsText" text="20+">
      <formula>NOT(ISERROR(SEARCH("20+",#REF!)))</formula>
    </cfRule>
    <cfRule type="containsText" dxfId="680" priority="9" operator="containsText" text="unknown">
      <formula>NOT(ISERROR(SEARCH("unknown",#REF!)))</formula>
    </cfRule>
    <cfRule type="containsText" dxfId="679" priority="10" operator="containsText" text="15-20 years">
      <formula>NOT(ISERROR(SEARCH("15-20 years",#REF!)))</formula>
    </cfRule>
    <cfRule type="containsText" dxfId="678" priority="11" operator="containsText" text="10-15 years">
      <formula>NOT(ISERROR(SEARCH("10-15 years",#REF!)))</formula>
    </cfRule>
    <cfRule type="containsText" dxfId="677" priority="12" operator="containsText" text="5-10 years">
      <formula>NOT(ISERROR(SEARCH("5-10 years",#REF!)))</formula>
    </cfRule>
    <cfRule type="containsText" dxfId="676" priority="13" operator="containsText" text="0-20 years">
      <formula>NOT(ISERROR(SEARCH("0-20 years",#REF!)))</formula>
    </cfRule>
    <cfRule type="containsText" dxfId="675" priority="14" operator="containsText" text="0-5 years">
      <formula>NOT(ISERROR(SEARCH("0-5 years",#REF!)))</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pageSetUpPr autoPageBreaks="0"/>
  </sheetPr>
  <dimension ref="A1:BM105"/>
  <sheetViews>
    <sheetView showGridLines="0" view="pageBreakPreview" zoomScale="60" zoomScaleNormal="60" workbookViewId="0">
      <selection activeCell="B1" sqref="B1:AF1"/>
    </sheetView>
  </sheetViews>
  <sheetFormatPr defaultColWidth="8.90625" defaultRowHeight="16.5" x14ac:dyDescent="0.35"/>
  <cols>
    <col min="1" max="1" width="3.90625" style="758" customWidth="1"/>
    <col min="2" max="2" width="10.90625" style="761" customWidth="1"/>
    <col min="3" max="3" width="45.90625" style="761" customWidth="1"/>
    <col min="4" max="4" width="20.90625" style="761" customWidth="1"/>
    <col min="5" max="5" width="12.90625" style="793" customWidth="1"/>
    <col min="6" max="14" width="7.90625" style="793" customWidth="1"/>
    <col min="15" max="15" width="20.90625" style="793" customWidth="1"/>
    <col min="16" max="16" width="30.90625" style="761" customWidth="1"/>
    <col min="17" max="18" width="20.90625" style="793" customWidth="1"/>
    <col min="19" max="19" width="30.90625" style="761" customWidth="1"/>
    <col min="20" max="20" width="20.90625" style="761" customWidth="1"/>
    <col min="21" max="21" width="20.90625" style="793" customWidth="1"/>
    <col min="22" max="22" width="30.90625" style="793" customWidth="1"/>
    <col min="23" max="24" width="20.90625" style="793" customWidth="1"/>
    <col min="25" max="25" width="30.90625" style="793" customWidth="1"/>
    <col min="26" max="26" width="20.90625" style="761" customWidth="1"/>
    <col min="27" max="28" width="20.90625" style="793" customWidth="1"/>
    <col min="29" max="29" width="30.90625" style="793" customWidth="1"/>
    <col min="30" max="30" width="20.90625" style="761" customWidth="1"/>
    <col min="31" max="31" width="20.90625" style="793" customWidth="1"/>
    <col min="32" max="32" width="30.90625" style="761" customWidth="1"/>
    <col min="33" max="34" width="3.90625" style="758" customWidth="1"/>
    <col min="35" max="35" width="10.90625" style="761" customWidth="1"/>
    <col min="36" max="36" width="45.90625" style="761" customWidth="1"/>
    <col min="37" max="37" width="20.90625" style="761" customWidth="1"/>
    <col min="38" max="38" width="20.90625" style="1071" customWidth="1"/>
    <col min="39" max="57" width="20.90625" style="761" customWidth="1"/>
    <col min="58" max="58" width="20.90625" style="1071" customWidth="1"/>
    <col min="59" max="60" width="20.90625" style="761" customWidth="1"/>
    <col min="61" max="61" width="3.90625" style="758" customWidth="1"/>
    <col min="62" max="62" width="25.90625" style="761" customWidth="1"/>
    <col min="63" max="64" width="50.90625" style="761" customWidth="1"/>
    <col min="65" max="16384" width="8.90625" style="761"/>
  </cols>
  <sheetData>
    <row r="1" spans="1:65" ht="39.9" customHeight="1" x14ac:dyDescent="0.35">
      <c r="A1" s="757"/>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59"/>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59"/>
      <c r="BJ1" s="760"/>
      <c r="BK1" s="760"/>
      <c r="BL1" s="760"/>
      <c r="BM1" s="760"/>
    </row>
    <row r="2" spans="1:65" s="758" customFormat="1" thickBot="1" x14ac:dyDescent="0.4">
      <c r="B2" s="1072" t="s">
        <v>449</v>
      </c>
      <c r="C2" s="1072" t="s">
        <v>450</v>
      </c>
      <c r="D2" s="1072" t="s">
        <v>451</v>
      </c>
      <c r="E2" s="1072" t="s">
        <v>452</v>
      </c>
      <c r="F2" s="1467" t="s">
        <v>453</v>
      </c>
      <c r="G2" s="1468"/>
      <c r="H2" s="1468"/>
      <c r="I2" s="1468"/>
      <c r="J2" s="1468"/>
      <c r="K2" s="1468"/>
      <c r="L2" s="1468"/>
      <c r="M2" s="1468"/>
      <c r="N2" s="1469"/>
      <c r="O2" s="1072" t="s">
        <v>454</v>
      </c>
      <c r="P2" s="1072" t="s">
        <v>455</v>
      </c>
      <c r="Q2" s="1072" t="s">
        <v>456</v>
      </c>
      <c r="R2" s="1072"/>
      <c r="S2" s="1072" t="s">
        <v>457</v>
      </c>
      <c r="T2" s="1072" t="s">
        <v>458</v>
      </c>
      <c r="U2" s="1072" t="s">
        <v>459</v>
      </c>
      <c r="V2" s="1072" t="s">
        <v>460</v>
      </c>
      <c r="W2" s="1072" t="s">
        <v>461</v>
      </c>
      <c r="X2" s="1072" t="s">
        <v>242</v>
      </c>
      <c r="Y2" s="1072" t="s">
        <v>462</v>
      </c>
      <c r="Z2" s="1072" t="s">
        <v>463</v>
      </c>
      <c r="AA2" s="1072" t="s">
        <v>464</v>
      </c>
      <c r="AB2" s="1072" t="s">
        <v>465</v>
      </c>
      <c r="AC2" s="1072" t="s">
        <v>466</v>
      </c>
      <c r="AD2" s="1072" t="s">
        <v>467</v>
      </c>
      <c r="AE2" s="1072" t="s">
        <v>468</v>
      </c>
      <c r="AF2" s="1072" t="s">
        <v>469</v>
      </c>
      <c r="AG2" s="1072"/>
      <c r="AH2" s="1072"/>
      <c r="AI2" s="1072" t="s">
        <v>449</v>
      </c>
      <c r="AJ2" s="1072" t="s">
        <v>450</v>
      </c>
      <c r="AK2" s="1072" t="s">
        <v>471</v>
      </c>
      <c r="AL2" s="1073" t="s">
        <v>472</v>
      </c>
      <c r="AM2" s="1072" t="s">
        <v>473</v>
      </c>
      <c r="AN2" s="1072" t="s">
        <v>474</v>
      </c>
      <c r="AO2" s="1072" t="s">
        <v>475</v>
      </c>
      <c r="AP2" s="1072" t="s">
        <v>476</v>
      </c>
      <c r="AQ2" s="1072" t="s">
        <v>477</v>
      </c>
      <c r="AR2" s="1072" t="s">
        <v>478</v>
      </c>
      <c r="AS2" s="1072" t="s">
        <v>479</v>
      </c>
      <c r="AT2" s="1072" t="s">
        <v>480</v>
      </c>
      <c r="AU2" s="1072" t="s">
        <v>481</v>
      </c>
      <c r="AV2" s="1072" t="s">
        <v>482</v>
      </c>
      <c r="AW2" s="1072" t="s">
        <v>483</v>
      </c>
      <c r="AX2" s="1072" t="s">
        <v>484</v>
      </c>
      <c r="AY2" s="1072" t="s">
        <v>485</v>
      </c>
      <c r="AZ2" s="1072" t="s">
        <v>486</v>
      </c>
      <c r="BA2" s="1072" t="s">
        <v>487</v>
      </c>
      <c r="BB2" s="1072" t="s">
        <v>488</v>
      </c>
      <c r="BC2" s="1072" t="s">
        <v>489</v>
      </c>
      <c r="BD2" s="1072" t="s">
        <v>490</v>
      </c>
      <c r="BE2" s="1072" t="s">
        <v>491</v>
      </c>
      <c r="BF2" s="1073" t="s">
        <v>492</v>
      </c>
      <c r="BG2" s="1072" t="s">
        <v>493</v>
      </c>
      <c r="BH2" s="1072" t="s">
        <v>494</v>
      </c>
    </row>
    <row r="3" spans="1:65" ht="99.9" customHeight="1" thickTop="1" x14ac:dyDescent="0.35">
      <c r="B3" s="1392" t="s">
        <v>2231</v>
      </c>
      <c r="C3" s="768"/>
      <c r="D3" s="1385" t="s">
        <v>495</v>
      </c>
      <c r="E3" s="1394" t="s">
        <v>496</v>
      </c>
      <c r="F3" s="1396" t="s">
        <v>219</v>
      </c>
      <c r="G3" s="1396"/>
      <c r="H3" s="1396"/>
      <c r="I3" s="1396"/>
      <c r="J3" s="1396"/>
      <c r="K3" s="1396"/>
      <c r="L3" s="1396"/>
      <c r="M3" s="1396"/>
      <c r="N3" s="1396"/>
      <c r="O3" s="1385" t="s">
        <v>214</v>
      </c>
      <c r="P3" s="1400" t="s">
        <v>497</v>
      </c>
      <c r="Q3" s="1385" t="s">
        <v>498</v>
      </c>
      <c r="R3" s="1321" t="s">
        <v>2233</v>
      </c>
      <c r="S3" s="1391" t="s">
        <v>499</v>
      </c>
      <c r="T3" s="1388" t="s">
        <v>501</v>
      </c>
      <c r="U3" s="1390" t="s">
        <v>2</v>
      </c>
      <c r="V3" s="1388" t="s">
        <v>500</v>
      </c>
      <c r="W3" s="1384" t="s">
        <v>856</v>
      </c>
      <c r="X3" s="1387" t="s">
        <v>503</v>
      </c>
      <c r="Y3" s="1385" t="s">
        <v>504</v>
      </c>
      <c r="Z3" s="1388" t="s">
        <v>505</v>
      </c>
      <c r="AA3" s="1384" t="s">
        <v>506</v>
      </c>
      <c r="AB3" s="1387" t="s">
        <v>1011</v>
      </c>
      <c r="AC3" s="1385" t="s">
        <v>504</v>
      </c>
      <c r="AD3" s="1388" t="s">
        <v>505</v>
      </c>
      <c r="AE3" s="1384" t="s">
        <v>508</v>
      </c>
      <c r="AF3" s="1490" t="s">
        <v>509</v>
      </c>
      <c r="AI3" s="1389" t="s">
        <v>2231</v>
      </c>
      <c r="AJ3" s="771"/>
      <c r="AK3" s="772" t="s">
        <v>2234</v>
      </c>
      <c r="AL3" s="773" t="s">
        <v>2235</v>
      </c>
      <c r="AM3" s="773" t="s">
        <v>2236</v>
      </c>
      <c r="AN3" s="773" t="s">
        <v>2237</v>
      </c>
      <c r="AO3" s="773" t="s">
        <v>2238</v>
      </c>
      <c r="AP3" s="773" t="s">
        <v>2239</v>
      </c>
      <c r="AQ3" s="774" t="s">
        <v>2240</v>
      </c>
      <c r="AR3" s="775" t="s">
        <v>2241</v>
      </c>
      <c r="AS3" s="773" t="s">
        <v>2242</v>
      </c>
      <c r="AT3" s="773" t="s">
        <v>2243</v>
      </c>
      <c r="AU3" s="773" t="s">
        <v>2244</v>
      </c>
      <c r="AV3" s="773" t="s">
        <v>2245</v>
      </c>
      <c r="AW3" s="773" t="s">
        <v>2246</v>
      </c>
      <c r="AX3" s="773" t="s">
        <v>2247</v>
      </c>
      <c r="AY3" s="773" t="s">
        <v>2248</v>
      </c>
      <c r="AZ3" s="773" t="s">
        <v>2249</v>
      </c>
      <c r="BA3" s="773" t="s">
        <v>2250</v>
      </c>
      <c r="BB3" s="773" t="s">
        <v>2251</v>
      </c>
      <c r="BC3" s="773" t="s">
        <v>2252</v>
      </c>
      <c r="BD3" s="773" t="s">
        <v>2253</v>
      </c>
      <c r="BE3" s="774" t="s">
        <v>2254</v>
      </c>
      <c r="BF3" s="775" t="s">
        <v>2255</v>
      </c>
      <c r="BG3" s="1398" t="s">
        <v>41</v>
      </c>
      <c r="BH3" s="1382" t="s">
        <v>42</v>
      </c>
      <c r="BJ3" s="777"/>
      <c r="BK3" s="778"/>
      <c r="BL3" s="778"/>
    </row>
    <row r="4" spans="1:65" s="793" customFormat="1" ht="126.9" customHeight="1" x14ac:dyDescent="0.35">
      <c r="A4" s="880"/>
      <c r="B4" s="1393"/>
      <c r="C4" s="780" t="s">
        <v>1012</v>
      </c>
      <c r="D4" s="1286"/>
      <c r="E4" s="1395"/>
      <c r="F4" s="333" t="s">
        <v>512</v>
      </c>
      <c r="G4" s="333" t="s">
        <v>513</v>
      </c>
      <c r="H4" s="333" t="s">
        <v>514</v>
      </c>
      <c r="I4" s="333" t="s">
        <v>515</v>
      </c>
      <c r="J4" s="333" t="s">
        <v>516</v>
      </c>
      <c r="K4" s="333" t="s">
        <v>517</v>
      </c>
      <c r="L4" s="333" t="s">
        <v>518</v>
      </c>
      <c r="M4" s="333" t="s">
        <v>519</v>
      </c>
      <c r="N4" s="333" t="s">
        <v>520</v>
      </c>
      <c r="O4" s="1397"/>
      <c r="P4" s="1401"/>
      <c r="Q4" s="1286"/>
      <c r="R4" s="1322"/>
      <c r="S4" s="1241"/>
      <c r="T4" s="1288"/>
      <c r="U4" s="1320"/>
      <c r="V4" s="1288"/>
      <c r="W4" s="1290"/>
      <c r="X4" s="1284"/>
      <c r="Y4" s="1286"/>
      <c r="Z4" s="1288"/>
      <c r="AA4" s="1290"/>
      <c r="AB4" s="1284"/>
      <c r="AC4" s="1286"/>
      <c r="AD4" s="1288"/>
      <c r="AE4" s="1290"/>
      <c r="AF4" s="1483"/>
      <c r="AG4" s="880"/>
      <c r="AH4" s="880"/>
      <c r="AI4" s="1299"/>
      <c r="AJ4" s="783" t="s">
        <v>1012</v>
      </c>
      <c r="AK4" s="784">
        <v>8500</v>
      </c>
      <c r="AL4" s="785">
        <v>1500</v>
      </c>
      <c r="AM4" s="785">
        <v>2600</v>
      </c>
      <c r="AN4" s="786">
        <v>750</v>
      </c>
      <c r="AO4" s="786" t="s">
        <v>48</v>
      </c>
      <c r="AP4" s="785">
        <v>2100</v>
      </c>
      <c r="AQ4" s="787">
        <v>1050</v>
      </c>
      <c r="AR4" s="788">
        <v>550</v>
      </c>
      <c r="AS4" s="786">
        <v>70</v>
      </c>
      <c r="AT4" s="786">
        <v>30</v>
      </c>
      <c r="AU4" s="786">
        <v>35</v>
      </c>
      <c r="AV4" s="786">
        <v>35</v>
      </c>
      <c r="AW4" s="786">
        <v>20</v>
      </c>
      <c r="AX4" s="786">
        <v>16</v>
      </c>
      <c r="AY4" s="786">
        <v>15</v>
      </c>
      <c r="AZ4" s="786">
        <v>13</v>
      </c>
      <c r="BA4" s="786">
        <v>10</v>
      </c>
      <c r="BB4" s="786">
        <v>10</v>
      </c>
      <c r="BC4" s="786">
        <v>10</v>
      </c>
      <c r="BD4" s="786">
        <v>10</v>
      </c>
      <c r="BE4" s="789">
        <v>10</v>
      </c>
      <c r="BF4" s="790">
        <v>2120</v>
      </c>
      <c r="BG4" s="1399"/>
      <c r="BH4" s="1383"/>
      <c r="BI4" s="1074"/>
      <c r="BJ4" s="791"/>
      <c r="BK4" s="792"/>
      <c r="BL4" s="792"/>
    </row>
    <row r="5" spans="1:65" ht="17.25" customHeight="1" x14ac:dyDescent="0.35">
      <c r="B5" s="795"/>
      <c r="C5" s="796" t="s">
        <v>521</v>
      </c>
      <c r="D5" s="302"/>
      <c r="E5" s="303"/>
      <c r="F5" s="303"/>
      <c r="G5" s="303"/>
      <c r="H5" s="303"/>
      <c r="I5" s="303"/>
      <c r="J5" s="303"/>
      <c r="K5" s="303"/>
      <c r="L5" s="303"/>
      <c r="M5" s="303"/>
      <c r="N5" s="307"/>
      <c r="O5" s="303"/>
      <c r="P5" s="302"/>
      <c r="Q5" s="305"/>
      <c r="R5" s="305"/>
      <c r="S5" s="306"/>
      <c r="T5" s="560"/>
      <c r="U5" s="305"/>
      <c r="V5" s="506"/>
      <c r="W5" s="584"/>
      <c r="X5" s="305"/>
      <c r="Y5" s="307"/>
      <c r="Z5" s="560"/>
      <c r="AA5" s="584"/>
      <c r="AB5" s="305"/>
      <c r="AC5" s="307"/>
      <c r="AD5" s="560"/>
      <c r="AE5" s="584"/>
      <c r="AF5" s="1075"/>
      <c r="AI5" s="800"/>
      <c r="AJ5" s="801" t="s">
        <v>521</v>
      </c>
      <c r="AK5" s="802"/>
      <c r="AL5" s="803"/>
      <c r="AM5" s="804"/>
      <c r="AN5" s="803"/>
      <c r="AO5" s="803"/>
      <c r="AP5" s="803"/>
      <c r="AQ5" s="804"/>
      <c r="AR5" s="805"/>
      <c r="AS5" s="803"/>
      <c r="AT5" s="803"/>
      <c r="AU5" s="803"/>
      <c r="AV5" s="803"/>
      <c r="AW5" s="803"/>
      <c r="AX5" s="803"/>
      <c r="AY5" s="803"/>
      <c r="AZ5" s="803"/>
      <c r="BA5" s="803"/>
      <c r="BB5" s="803"/>
      <c r="BC5" s="803"/>
      <c r="BD5" s="803"/>
      <c r="BE5" s="804"/>
      <c r="BF5" s="805"/>
      <c r="BG5" s="302"/>
      <c r="BH5" s="570"/>
      <c r="BJ5" s="823"/>
      <c r="BK5" s="806"/>
      <c r="BL5" s="807"/>
    </row>
    <row r="6" spans="1:65" ht="125.15" customHeight="1" x14ac:dyDescent="0.35">
      <c r="A6" s="1459">
        <v>1</v>
      </c>
      <c r="B6" s="1418" t="s">
        <v>1013</v>
      </c>
      <c r="C6" s="1420" t="s">
        <v>1014</v>
      </c>
      <c r="D6" s="1422"/>
      <c r="E6" s="1374" t="s">
        <v>524</v>
      </c>
      <c r="F6" s="808"/>
      <c r="G6" s="809"/>
      <c r="H6" s="809"/>
      <c r="I6" s="809"/>
      <c r="J6" s="810"/>
      <c r="K6" s="809"/>
      <c r="L6" s="809"/>
      <c r="M6" s="809"/>
      <c r="N6" s="811"/>
      <c r="O6" s="1422" t="s">
        <v>525</v>
      </c>
      <c r="P6" s="1422" t="s">
        <v>526</v>
      </c>
      <c r="Q6" s="324" t="s">
        <v>527</v>
      </c>
      <c r="R6" s="324"/>
      <c r="S6" s="1424" t="s">
        <v>528</v>
      </c>
      <c r="T6" s="1426"/>
      <c r="U6" s="324"/>
      <c r="V6" s="1476"/>
      <c r="W6" s="556"/>
      <c r="X6" s="569" t="s">
        <v>527</v>
      </c>
      <c r="Y6" s="1424" t="s">
        <v>528</v>
      </c>
      <c r="Z6" s="1426"/>
      <c r="AA6" s="556"/>
      <c r="AB6" s="569" t="s">
        <v>527</v>
      </c>
      <c r="AC6" s="1424" t="s">
        <v>528</v>
      </c>
      <c r="AD6" s="1426"/>
      <c r="AE6" s="556"/>
      <c r="AF6" s="1465"/>
      <c r="AG6" s="1309">
        <v>1</v>
      </c>
      <c r="AH6" s="1275">
        <v>1</v>
      </c>
      <c r="AI6" s="1430" t="s">
        <v>1013</v>
      </c>
      <c r="AJ6" s="1428" t="s">
        <v>1015</v>
      </c>
      <c r="AK6" s="695" t="s">
        <v>527</v>
      </c>
      <c r="AL6" s="569" t="s">
        <v>527</v>
      </c>
      <c r="AM6" s="569" t="s">
        <v>527</v>
      </c>
      <c r="AN6" s="569" t="s">
        <v>527</v>
      </c>
      <c r="AO6" s="569" t="s">
        <v>527</v>
      </c>
      <c r="AP6" s="569" t="s">
        <v>527</v>
      </c>
      <c r="AQ6" s="643" t="s">
        <v>527</v>
      </c>
      <c r="AR6" s="589" t="s">
        <v>527</v>
      </c>
      <c r="AS6" s="569" t="s">
        <v>527</v>
      </c>
      <c r="AT6" s="569" t="s">
        <v>527</v>
      </c>
      <c r="AU6" s="569" t="s">
        <v>527</v>
      </c>
      <c r="AV6" s="569" t="s">
        <v>527</v>
      </c>
      <c r="AW6" s="569" t="s">
        <v>527</v>
      </c>
      <c r="AX6" s="569" t="s">
        <v>527</v>
      </c>
      <c r="AY6" s="569" t="s">
        <v>527</v>
      </c>
      <c r="AZ6" s="569" t="s">
        <v>527</v>
      </c>
      <c r="BA6" s="569" t="s">
        <v>527</v>
      </c>
      <c r="BB6" s="569" t="s">
        <v>527</v>
      </c>
      <c r="BC6" s="569" t="s">
        <v>527</v>
      </c>
      <c r="BD6" s="569" t="s">
        <v>527</v>
      </c>
      <c r="BE6" s="643" t="s">
        <v>527</v>
      </c>
      <c r="BF6" s="589" t="s">
        <v>527</v>
      </c>
      <c r="BG6" s="569" t="s">
        <v>527</v>
      </c>
      <c r="BH6" s="815"/>
      <c r="BI6" s="1432">
        <v>1</v>
      </c>
      <c r="BJ6" s="823"/>
      <c r="BK6" s="1414"/>
      <c r="BL6" s="1316"/>
    </row>
    <row r="7" spans="1:65" ht="125.15" customHeight="1" x14ac:dyDescent="0.35">
      <c r="A7" s="1460"/>
      <c r="B7" s="1419"/>
      <c r="C7" s="1421"/>
      <c r="D7" s="1423"/>
      <c r="E7" s="1373"/>
      <c r="F7" s="1415"/>
      <c r="G7" s="1416"/>
      <c r="H7" s="1416"/>
      <c r="I7" s="1416"/>
      <c r="J7" s="1416"/>
      <c r="K7" s="1416"/>
      <c r="L7" s="1416"/>
      <c r="M7" s="1416"/>
      <c r="N7" s="1417"/>
      <c r="O7" s="1423"/>
      <c r="P7" s="1423"/>
      <c r="Q7" s="456"/>
      <c r="R7" s="456"/>
      <c r="S7" s="1425"/>
      <c r="T7" s="1427"/>
      <c r="U7" s="326"/>
      <c r="V7" s="1477"/>
      <c r="W7" s="557"/>
      <c r="X7" s="564"/>
      <c r="Y7" s="1425"/>
      <c r="Z7" s="1427"/>
      <c r="AA7" s="562"/>
      <c r="AB7" s="564"/>
      <c r="AC7" s="1425"/>
      <c r="AD7" s="1427"/>
      <c r="AE7" s="562"/>
      <c r="AF7" s="1466"/>
      <c r="AG7" s="1310"/>
      <c r="AH7" s="1276"/>
      <c r="AI7" s="1431"/>
      <c r="AJ7" s="1429"/>
      <c r="AK7" s="696"/>
      <c r="AL7" s="564"/>
      <c r="AM7" s="564"/>
      <c r="AN7" s="564"/>
      <c r="AO7" s="564"/>
      <c r="AP7" s="564"/>
      <c r="AQ7" s="697"/>
      <c r="AR7" s="585"/>
      <c r="AS7" s="663"/>
      <c r="AT7" s="663"/>
      <c r="AU7" s="663"/>
      <c r="AV7" s="663"/>
      <c r="AW7" s="663"/>
      <c r="AX7" s="663"/>
      <c r="AY7" s="663"/>
      <c r="AZ7" s="663"/>
      <c r="BA7" s="663"/>
      <c r="BB7" s="663"/>
      <c r="BC7" s="663"/>
      <c r="BD7" s="663"/>
      <c r="BE7" s="711"/>
      <c r="BF7" s="585"/>
      <c r="BG7" s="663"/>
      <c r="BH7" s="817"/>
      <c r="BI7" s="1433"/>
      <c r="BJ7" s="823"/>
      <c r="BK7" s="1414"/>
      <c r="BL7" s="1317"/>
    </row>
    <row r="8" spans="1:65" ht="17.25" customHeight="1" x14ac:dyDescent="0.35">
      <c r="A8" s="821"/>
      <c r="B8" s="795"/>
      <c r="C8" s="302" t="s">
        <v>1016</v>
      </c>
      <c r="D8" s="302"/>
      <c r="E8" s="303"/>
      <c r="F8" s="303"/>
      <c r="G8" s="303"/>
      <c r="H8" s="303"/>
      <c r="I8" s="303"/>
      <c r="J8" s="303"/>
      <c r="K8" s="303"/>
      <c r="L8" s="303"/>
      <c r="M8" s="303"/>
      <c r="N8" s="307"/>
      <c r="O8" s="303"/>
      <c r="P8" s="302"/>
      <c r="Q8" s="305"/>
      <c r="R8" s="305"/>
      <c r="S8" s="306"/>
      <c r="T8" s="560"/>
      <c r="U8" s="305"/>
      <c r="V8" s="506"/>
      <c r="W8" s="584"/>
      <c r="X8" s="305"/>
      <c r="Y8" s="307"/>
      <c r="Z8" s="560"/>
      <c r="AA8" s="584"/>
      <c r="AB8" s="305"/>
      <c r="AC8" s="307"/>
      <c r="AD8" s="560"/>
      <c r="AE8" s="584"/>
      <c r="AF8" s="1075"/>
      <c r="AG8" s="1078"/>
      <c r="AH8" s="1079"/>
      <c r="AI8" s="800"/>
      <c r="AJ8" s="570" t="s">
        <v>1016</v>
      </c>
      <c r="AK8" s="802"/>
      <c r="AL8" s="803"/>
      <c r="AM8" s="804"/>
      <c r="AN8" s="803"/>
      <c r="AO8" s="803"/>
      <c r="AP8" s="803"/>
      <c r="AQ8" s="804"/>
      <c r="AR8" s="805"/>
      <c r="AS8" s="803"/>
      <c r="AT8" s="803"/>
      <c r="AU8" s="803"/>
      <c r="AV8" s="803"/>
      <c r="AW8" s="803"/>
      <c r="AX8" s="803"/>
      <c r="AY8" s="803"/>
      <c r="AZ8" s="803"/>
      <c r="BA8" s="803"/>
      <c r="BB8" s="803"/>
      <c r="BC8" s="803"/>
      <c r="BD8" s="803"/>
      <c r="BE8" s="804"/>
      <c r="BF8" s="805"/>
      <c r="BG8" s="302"/>
      <c r="BH8" s="570"/>
      <c r="BI8" s="1080"/>
      <c r="BJ8" s="823"/>
      <c r="BK8" s="807"/>
      <c r="BL8" s="807"/>
    </row>
    <row r="9" spans="1:65" ht="125.15" customHeight="1" x14ac:dyDescent="0.35">
      <c r="A9" s="1459">
        <v>2</v>
      </c>
      <c r="B9" s="1358" t="s">
        <v>1017</v>
      </c>
      <c r="C9" s="1281" t="s">
        <v>2276</v>
      </c>
      <c r="D9" s="1474" t="s">
        <v>1018</v>
      </c>
      <c r="E9" s="1470"/>
      <c r="F9" s="1081"/>
      <c r="G9" s="1082"/>
      <c r="H9" s="1082"/>
      <c r="I9" s="1082"/>
      <c r="J9" s="1083"/>
      <c r="K9" s="1082"/>
      <c r="L9" s="1082"/>
      <c r="M9" s="1082"/>
      <c r="N9" s="828"/>
      <c r="O9" s="1281" t="s">
        <v>1019</v>
      </c>
      <c r="P9" s="1268" t="s">
        <v>2277</v>
      </c>
      <c r="Q9" s="330" t="s">
        <v>2278</v>
      </c>
      <c r="R9" s="330"/>
      <c r="S9" s="1268" t="s">
        <v>2279</v>
      </c>
      <c r="T9" s="1311" t="s">
        <v>1020</v>
      </c>
      <c r="U9" s="329"/>
      <c r="V9" s="1279"/>
      <c r="W9" s="632"/>
      <c r="X9" s="563" t="s">
        <v>1021</v>
      </c>
      <c r="Y9" s="1268" t="s">
        <v>1022</v>
      </c>
      <c r="Z9" s="1311" t="s">
        <v>1023</v>
      </c>
      <c r="AA9" s="618"/>
      <c r="AB9" s="643" t="s">
        <v>1024</v>
      </c>
      <c r="AC9" s="1268"/>
      <c r="AD9" s="1311" t="s">
        <v>1025</v>
      </c>
      <c r="AE9" s="618"/>
      <c r="AF9" s="1472"/>
      <c r="AG9" s="1309">
        <v>2</v>
      </c>
      <c r="AH9" s="1275">
        <v>2</v>
      </c>
      <c r="AI9" s="1271" t="s">
        <v>1017</v>
      </c>
      <c r="AJ9" s="1293" t="s">
        <v>2276</v>
      </c>
      <c r="AK9" s="600" t="s">
        <v>1026</v>
      </c>
      <c r="AL9" s="600" t="s">
        <v>1027</v>
      </c>
      <c r="AM9" s="643" t="s">
        <v>1028</v>
      </c>
      <c r="AN9" s="643" t="s">
        <v>1029</v>
      </c>
      <c r="AO9" s="1084"/>
      <c r="AP9" s="643" t="s">
        <v>1030</v>
      </c>
      <c r="AQ9" s="643" t="s">
        <v>1031</v>
      </c>
      <c r="AR9" s="589" t="s">
        <v>1032</v>
      </c>
      <c r="AS9" s="569" t="s">
        <v>1033</v>
      </c>
      <c r="AT9" s="569" t="s">
        <v>1034</v>
      </c>
      <c r="AU9" s="569" t="s">
        <v>1034</v>
      </c>
      <c r="AV9" s="569" t="s">
        <v>1034</v>
      </c>
      <c r="AW9" s="569" t="s">
        <v>1035</v>
      </c>
      <c r="AX9" s="569" t="s">
        <v>1036</v>
      </c>
      <c r="AY9" s="569" t="s">
        <v>1036</v>
      </c>
      <c r="AZ9" s="569" t="s">
        <v>1036</v>
      </c>
      <c r="BA9" s="569" t="s">
        <v>1036</v>
      </c>
      <c r="BB9" s="569" t="s">
        <v>1036</v>
      </c>
      <c r="BC9" s="569" t="s">
        <v>1036</v>
      </c>
      <c r="BD9" s="569" t="s">
        <v>1036</v>
      </c>
      <c r="BE9" s="569" t="s">
        <v>1036</v>
      </c>
      <c r="BF9" s="686" t="s">
        <v>1037</v>
      </c>
      <c r="BG9" s="569" t="s">
        <v>1038</v>
      </c>
      <c r="BH9" s="815"/>
      <c r="BI9" s="1432">
        <v>2</v>
      </c>
      <c r="BJ9" s="823"/>
      <c r="BK9" s="1316"/>
      <c r="BL9" s="1316"/>
    </row>
    <row r="10" spans="1:65" ht="201" customHeight="1" x14ac:dyDescent="0.35">
      <c r="A10" s="1460"/>
      <c r="B10" s="1359"/>
      <c r="C10" s="1282"/>
      <c r="D10" s="1475"/>
      <c r="E10" s="1471"/>
      <c r="F10" s="1313" t="s">
        <v>1039</v>
      </c>
      <c r="G10" s="1314"/>
      <c r="H10" s="1314"/>
      <c r="I10" s="1314"/>
      <c r="J10" s="1314"/>
      <c r="K10" s="1314"/>
      <c r="L10" s="1314"/>
      <c r="M10" s="1314"/>
      <c r="N10" s="1315"/>
      <c r="O10" s="1282"/>
      <c r="P10" s="1270"/>
      <c r="Q10" s="456">
        <v>28972395.144542772</v>
      </c>
      <c r="R10" s="456">
        <v>31462859</v>
      </c>
      <c r="S10" s="1270"/>
      <c r="T10" s="1312"/>
      <c r="U10" s="334"/>
      <c r="V10" s="1308"/>
      <c r="W10" s="633">
        <f>X10</f>
        <v>28972395.144542772</v>
      </c>
      <c r="X10" s="564">
        <f>SUM(AK10:BH10)</f>
        <v>28972395.144542772</v>
      </c>
      <c r="Y10" s="1270"/>
      <c r="Z10" s="1312"/>
      <c r="AA10" s="598"/>
      <c r="AB10" s="711"/>
      <c r="AC10" s="1270"/>
      <c r="AD10" s="1312"/>
      <c r="AE10" s="598"/>
      <c r="AF10" s="1473"/>
      <c r="AG10" s="1310"/>
      <c r="AH10" s="1276"/>
      <c r="AI10" s="1272"/>
      <c r="AJ10" s="1295"/>
      <c r="AK10" s="696">
        <f>(2782*300)*6</f>
        <v>5007600</v>
      </c>
      <c r="AL10" s="564">
        <f>(2782*275)</f>
        <v>765050</v>
      </c>
      <c r="AM10" s="697">
        <f>(30127*234)*(1+Indexation!K34)</f>
        <v>7257674.2831858406</v>
      </c>
      <c r="AN10" s="697">
        <f>(30127*68)*(1+Indexation!K34)</f>
        <v>2109067.7404129794</v>
      </c>
      <c r="AO10" s="477"/>
      <c r="AP10" s="697">
        <f>(30127*189)*(1+Indexation!K34)</f>
        <v>5861967.6902654869</v>
      </c>
      <c r="AQ10" s="697">
        <f>(30127*95)*(1+Indexation!K34)</f>
        <v>2946491.6961651915</v>
      </c>
      <c r="AR10" s="697">
        <f>(30127*50)*(1+Indexation!K34)</f>
        <v>1550785.1032448376</v>
      </c>
      <c r="AS10" s="697">
        <f>(30127*6)*(1+Indexation!K34)</f>
        <v>186094.21238938053</v>
      </c>
      <c r="AT10" s="697">
        <f>(30127*3)*(1+Indexation!K34)</f>
        <v>93047.106194690263</v>
      </c>
      <c r="AU10" s="697">
        <f>(30127*3)*(1+Indexation!K34)</f>
        <v>93047.106194690263</v>
      </c>
      <c r="AV10" s="697">
        <f>(30127*3)*(1+Indexation!K34)</f>
        <v>93047.106194690263</v>
      </c>
      <c r="AW10" s="697">
        <f>(30127*2)*(1+Indexation!K34)</f>
        <v>62031.404129793511</v>
      </c>
      <c r="AX10" s="663"/>
      <c r="AY10" s="663"/>
      <c r="AZ10" s="663"/>
      <c r="BA10" s="663"/>
      <c r="BB10" s="663"/>
      <c r="BC10" s="663"/>
      <c r="BD10" s="663"/>
      <c r="BE10" s="711"/>
      <c r="BF10" s="697">
        <f>(30127*95)*(1+Indexation!K34)</f>
        <v>2946491.6961651915</v>
      </c>
      <c r="BG10" s="711"/>
      <c r="BH10" s="817"/>
      <c r="BI10" s="1433"/>
      <c r="BJ10" s="823"/>
      <c r="BK10" s="1317"/>
      <c r="BL10" s="1317"/>
    </row>
    <row r="11" spans="1:65" ht="17.25" customHeight="1" x14ac:dyDescent="0.35">
      <c r="A11" s="821"/>
      <c r="B11" s="795"/>
      <c r="C11" s="302" t="s">
        <v>1040</v>
      </c>
      <c r="D11" s="302"/>
      <c r="E11" s="303"/>
      <c r="F11" s="303"/>
      <c r="G11" s="303"/>
      <c r="H11" s="303"/>
      <c r="I11" s="303"/>
      <c r="J11" s="303"/>
      <c r="K11" s="303"/>
      <c r="L11" s="303"/>
      <c r="M11" s="303"/>
      <c r="N11" s="307"/>
      <c r="O11" s="303"/>
      <c r="P11" s="302"/>
      <c r="Q11" s="305"/>
      <c r="R11" s="305"/>
      <c r="S11" s="306"/>
      <c r="T11" s="560"/>
      <c r="U11" s="305"/>
      <c r="V11" s="506"/>
      <c r="W11" s="584"/>
      <c r="X11" s="305"/>
      <c r="Y11" s="307"/>
      <c r="Z11" s="560"/>
      <c r="AA11" s="584"/>
      <c r="AB11" s="305"/>
      <c r="AC11" s="307"/>
      <c r="AD11" s="560"/>
      <c r="AE11" s="584"/>
      <c r="AF11" s="1075"/>
      <c r="AG11" s="1078"/>
      <c r="AH11" s="1079"/>
      <c r="AI11" s="800"/>
      <c r="AJ11" s="570" t="s">
        <v>1040</v>
      </c>
      <c r="AK11" s="802"/>
      <c r="AL11" s="803"/>
      <c r="AM11" s="804"/>
      <c r="AN11" s="803"/>
      <c r="AO11" s="803"/>
      <c r="AP11" s="803"/>
      <c r="AQ11" s="804"/>
      <c r="AR11" s="805"/>
      <c r="AS11" s="803"/>
      <c r="AT11" s="803"/>
      <c r="AU11" s="803"/>
      <c r="AV11" s="803"/>
      <c r="AW11" s="803"/>
      <c r="AX11" s="803"/>
      <c r="AY11" s="803"/>
      <c r="AZ11" s="803"/>
      <c r="BA11" s="803"/>
      <c r="BB11" s="803"/>
      <c r="BC11" s="803"/>
      <c r="BD11" s="803"/>
      <c r="BE11" s="804"/>
      <c r="BF11" s="805"/>
      <c r="BG11" s="302"/>
      <c r="BH11" s="570"/>
      <c r="BI11" s="1080"/>
      <c r="BJ11" s="823"/>
      <c r="BK11" s="807"/>
      <c r="BL11" s="807"/>
    </row>
    <row r="12" spans="1:65" ht="146.4" customHeight="1" x14ac:dyDescent="0.35">
      <c r="A12" s="1459">
        <v>3</v>
      </c>
      <c r="B12" s="1358" t="s">
        <v>1041</v>
      </c>
      <c r="C12" s="1281" t="s">
        <v>1042</v>
      </c>
      <c r="D12" s="1281" t="s">
        <v>1043</v>
      </c>
      <c r="E12" s="1470"/>
      <c r="F12" s="1085"/>
      <c r="G12" s="825"/>
      <c r="H12" s="825"/>
      <c r="I12" s="825"/>
      <c r="J12" s="825"/>
      <c r="K12" s="825"/>
      <c r="L12" s="825"/>
      <c r="M12" s="825"/>
      <c r="N12" s="1086"/>
      <c r="O12" s="1281" t="s">
        <v>1044</v>
      </c>
      <c r="P12" s="1268" t="s">
        <v>1045</v>
      </c>
      <c r="Q12" s="324" t="s">
        <v>1046</v>
      </c>
      <c r="R12" s="324" t="s">
        <v>2187</v>
      </c>
      <c r="S12" s="1268" t="s">
        <v>2280</v>
      </c>
      <c r="T12" s="1311" t="s">
        <v>1047</v>
      </c>
      <c r="U12" s="329"/>
      <c r="V12" s="1279"/>
      <c r="W12" s="632"/>
      <c r="X12" s="563" t="s">
        <v>1048</v>
      </c>
      <c r="Y12" s="1268" t="s">
        <v>1049</v>
      </c>
      <c r="Z12" s="1311" t="s">
        <v>1050</v>
      </c>
      <c r="AA12" s="618"/>
      <c r="AB12" s="331"/>
      <c r="AC12" s="1268"/>
      <c r="AD12" s="1311"/>
      <c r="AE12" s="618"/>
      <c r="AF12" s="1457"/>
      <c r="AG12" s="1309">
        <v>3</v>
      </c>
      <c r="AH12" s="1275">
        <v>3</v>
      </c>
      <c r="AI12" s="1271" t="s">
        <v>1041</v>
      </c>
      <c r="AJ12" s="1293" t="s">
        <v>1042</v>
      </c>
      <c r="AK12" s="600" t="s">
        <v>1051</v>
      </c>
      <c r="AL12" s="600" t="s">
        <v>1052</v>
      </c>
      <c r="AM12" s="491"/>
      <c r="AN12" s="491"/>
      <c r="AO12" s="1087"/>
      <c r="AP12" s="489"/>
      <c r="AQ12" s="489"/>
      <c r="AR12" s="618"/>
      <c r="AS12" s="493"/>
      <c r="AT12" s="493"/>
      <c r="AU12" s="493"/>
      <c r="AV12" s="493"/>
      <c r="AW12" s="493"/>
      <c r="AX12" s="886"/>
      <c r="AY12" s="886"/>
      <c r="AZ12" s="886"/>
      <c r="BA12" s="886"/>
      <c r="BB12" s="886"/>
      <c r="BC12" s="886"/>
      <c r="BD12" s="886"/>
      <c r="BE12" s="887"/>
      <c r="BF12" s="618"/>
      <c r="BG12" s="489"/>
      <c r="BH12" s="1088"/>
      <c r="BI12" s="1432">
        <v>3</v>
      </c>
      <c r="BJ12" s="823"/>
      <c r="BK12" s="1316"/>
      <c r="BL12" s="1316"/>
    </row>
    <row r="13" spans="1:65" ht="125.15" customHeight="1" x14ac:dyDescent="0.35">
      <c r="A13" s="1460"/>
      <c r="B13" s="1359"/>
      <c r="C13" s="1282"/>
      <c r="D13" s="1282"/>
      <c r="E13" s="1471"/>
      <c r="F13" s="1313" t="s">
        <v>1053</v>
      </c>
      <c r="G13" s="1314"/>
      <c r="H13" s="1314"/>
      <c r="I13" s="1314"/>
      <c r="J13" s="1314"/>
      <c r="K13" s="1314"/>
      <c r="L13" s="1314"/>
      <c r="M13" s="1314"/>
      <c r="N13" s="1315"/>
      <c r="O13" s="1282"/>
      <c r="P13" s="1270"/>
      <c r="Q13" s="456">
        <f>((6*14552000)+(1*9702000))*1.1</f>
        <v>106715400.00000001</v>
      </c>
      <c r="R13" s="456"/>
      <c r="S13" s="1270"/>
      <c r="T13" s="1312"/>
      <c r="U13" s="477"/>
      <c r="V13" s="1308"/>
      <c r="W13" s="633">
        <f>Q13</f>
        <v>106715400.00000001</v>
      </c>
      <c r="X13" s="564">
        <f>SUM(AK13:BE13)</f>
        <v>106715400</v>
      </c>
      <c r="Y13" s="1270"/>
      <c r="Z13" s="1312"/>
      <c r="AA13" s="628"/>
      <c r="AB13" s="477"/>
      <c r="AC13" s="1270"/>
      <c r="AD13" s="1312"/>
      <c r="AE13" s="628"/>
      <c r="AF13" s="1458"/>
      <c r="AG13" s="1310"/>
      <c r="AH13" s="1276"/>
      <c r="AI13" s="1272"/>
      <c r="AJ13" s="1295"/>
      <c r="AK13" s="704">
        <f>((5*14552000)+(9702000))*1.1</f>
        <v>90708200</v>
      </c>
      <c r="AL13" s="697">
        <f>14552000*1.1</f>
        <v>16007200.000000002</v>
      </c>
      <c r="AM13" s="488"/>
      <c r="AN13" s="488"/>
      <c r="AO13" s="1089"/>
      <c r="AP13" s="488"/>
      <c r="AQ13" s="488"/>
      <c r="AR13" s="628"/>
      <c r="AS13" s="488"/>
      <c r="AT13" s="488"/>
      <c r="AU13" s="488"/>
      <c r="AV13" s="488"/>
      <c r="AW13" s="488"/>
      <c r="AX13" s="328"/>
      <c r="AY13" s="328"/>
      <c r="AZ13" s="328"/>
      <c r="BA13" s="328"/>
      <c r="BB13" s="328"/>
      <c r="BC13" s="328"/>
      <c r="BD13" s="328"/>
      <c r="BE13" s="583"/>
      <c r="BF13" s="628"/>
      <c r="BG13" s="583"/>
      <c r="BH13" s="1090"/>
      <c r="BI13" s="1433"/>
      <c r="BJ13" s="823"/>
      <c r="BK13" s="1317"/>
      <c r="BL13" s="1317"/>
    </row>
    <row r="14" spans="1:65" ht="125.15" customHeight="1" x14ac:dyDescent="0.35">
      <c r="A14" s="1459">
        <v>4</v>
      </c>
      <c r="B14" s="1358" t="s">
        <v>1054</v>
      </c>
      <c r="C14" s="1281" t="s">
        <v>1055</v>
      </c>
      <c r="D14" s="1281" t="s">
        <v>1056</v>
      </c>
      <c r="E14" s="1470"/>
      <c r="F14" s="1085"/>
      <c r="G14" s="825" t="s">
        <v>1057</v>
      </c>
      <c r="H14" s="825" t="s">
        <v>1058</v>
      </c>
      <c r="I14" s="825"/>
      <c r="J14" s="825" t="s">
        <v>1059</v>
      </c>
      <c r="K14" s="825"/>
      <c r="L14" s="942"/>
      <c r="M14" s="942"/>
      <c r="N14" s="1086"/>
      <c r="O14" s="1281" t="s">
        <v>1060</v>
      </c>
      <c r="P14" s="1268" t="s">
        <v>1061</v>
      </c>
      <c r="Q14" s="324" t="s">
        <v>1062</v>
      </c>
      <c r="R14" s="324"/>
      <c r="S14" s="1268" t="s">
        <v>1063</v>
      </c>
      <c r="T14" s="1311" t="s">
        <v>1047</v>
      </c>
      <c r="U14" s="566"/>
      <c r="V14" s="1279" t="s">
        <v>1064</v>
      </c>
      <c r="W14" s="632"/>
      <c r="X14" s="563" t="s">
        <v>1065</v>
      </c>
      <c r="Y14" s="1268" t="s">
        <v>1066</v>
      </c>
      <c r="Z14" s="1311" t="s">
        <v>1050</v>
      </c>
      <c r="AA14" s="632"/>
      <c r="AB14" s="643" t="s">
        <v>1067</v>
      </c>
      <c r="AC14" s="1281" t="s">
        <v>1068</v>
      </c>
      <c r="AD14" s="1311"/>
      <c r="AE14" s="632"/>
      <c r="AF14" s="1457" t="s">
        <v>1069</v>
      </c>
      <c r="AG14" s="1309">
        <v>4</v>
      </c>
      <c r="AH14" s="1275">
        <v>4</v>
      </c>
      <c r="AI14" s="1271" t="s">
        <v>1054</v>
      </c>
      <c r="AJ14" s="1480" t="s">
        <v>1055</v>
      </c>
      <c r="AK14" s="618"/>
      <c r="AL14" s="1091"/>
      <c r="AM14" s="1478" t="s">
        <v>1070</v>
      </c>
      <c r="AN14" s="1479"/>
      <c r="AO14" s="1087"/>
      <c r="AP14" s="643" t="s">
        <v>1071</v>
      </c>
      <c r="AQ14" s="643" t="s">
        <v>1072</v>
      </c>
      <c r="AR14" s="618"/>
      <c r="AS14" s="493"/>
      <c r="AT14" s="493"/>
      <c r="AU14" s="493"/>
      <c r="AV14" s="493"/>
      <c r="AW14" s="493"/>
      <c r="AX14" s="886"/>
      <c r="AY14" s="886"/>
      <c r="AZ14" s="886"/>
      <c r="BA14" s="886"/>
      <c r="BB14" s="886"/>
      <c r="BC14" s="886"/>
      <c r="BD14" s="886"/>
      <c r="BE14" s="887"/>
      <c r="BF14" s="589" t="s">
        <v>1067</v>
      </c>
      <c r="BG14" s="643" t="s">
        <v>1067</v>
      </c>
      <c r="BH14" s="1088"/>
      <c r="BI14" s="1432">
        <v>4</v>
      </c>
      <c r="BJ14" s="823"/>
      <c r="BK14" s="1316"/>
      <c r="BL14" s="1316"/>
    </row>
    <row r="15" spans="1:65" ht="125.15" customHeight="1" x14ac:dyDescent="0.35">
      <c r="A15" s="1460"/>
      <c r="B15" s="1359"/>
      <c r="C15" s="1282"/>
      <c r="D15" s="1282"/>
      <c r="E15" s="1471"/>
      <c r="F15" s="1313" t="s">
        <v>1073</v>
      </c>
      <c r="G15" s="1314"/>
      <c r="H15" s="1314"/>
      <c r="I15" s="1314"/>
      <c r="J15" s="1314"/>
      <c r="K15" s="1314"/>
      <c r="L15" s="1314"/>
      <c r="M15" s="1314"/>
      <c r="N15" s="1315"/>
      <c r="O15" s="1282"/>
      <c r="P15" s="1270"/>
      <c r="Q15" s="456">
        <f>(3*Indexation!J38)+(2*Indexation!J39)</f>
        <v>54001125.26946108</v>
      </c>
      <c r="R15" s="456">
        <v>58643056</v>
      </c>
      <c r="S15" s="1270"/>
      <c r="T15" s="1312"/>
      <c r="U15" s="565">
        <v>0</v>
      </c>
      <c r="V15" s="1308"/>
      <c r="W15" s="633">
        <f>Q15</f>
        <v>54001125.26946108</v>
      </c>
      <c r="X15" s="564">
        <f>SUM(AK15:BE15)</f>
        <v>45000937.724550895</v>
      </c>
      <c r="Y15" s="1270"/>
      <c r="Z15" s="1312"/>
      <c r="AA15" s="633">
        <f>W15-X15</f>
        <v>9000187.544910185</v>
      </c>
      <c r="AB15" s="907">
        <f>(62*0.3)*20508</f>
        <v>381448.79999999993</v>
      </c>
      <c r="AC15" s="1282"/>
      <c r="AD15" s="1312"/>
      <c r="AE15" s="633">
        <f>AA15-SUM(BF15:BH15)</f>
        <v>9000187.544910185</v>
      </c>
      <c r="AF15" s="1458"/>
      <c r="AG15" s="1310"/>
      <c r="AH15" s="1276"/>
      <c r="AI15" s="1272"/>
      <c r="AJ15" s="1481"/>
      <c r="AK15" s="628"/>
      <c r="AL15" s="488"/>
      <c r="AM15" s="697">
        <f>(Indexation!J38+Indexation!J39)*AM$4/(AM$4+AN$4)</f>
        <v>17463050.460273482</v>
      </c>
      <c r="AN15" s="697">
        <f>(Indexation!J38+Indexation!J39)*AN$4/(AM$4+AN$4)</f>
        <v>5037418.4020019658</v>
      </c>
      <c r="AO15" s="1089"/>
      <c r="AP15" s="697">
        <f>Indexation!J39</f>
        <v>13500281.317365268</v>
      </c>
      <c r="AQ15" s="697">
        <f>Indexation!J38</f>
        <v>9000187.5449101795</v>
      </c>
      <c r="AR15" s="598"/>
      <c r="AS15" s="488"/>
      <c r="AT15" s="488"/>
      <c r="AU15" s="488"/>
      <c r="AV15" s="488"/>
      <c r="AW15" s="488"/>
      <c r="AX15" s="328"/>
      <c r="AY15" s="328"/>
      <c r="AZ15" s="328"/>
      <c r="BA15" s="328"/>
      <c r="BB15" s="328"/>
      <c r="BC15" s="328"/>
      <c r="BD15" s="328"/>
      <c r="BE15" s="583"/>
      <c r="BF15" s="599"/>
      <c r="BG15" s="711"/>
      <c r="BH15" s="1090"/>
      <c r="BI15" s="1433"/>
      <c r="BJ15" s="823"/>
      <c r="BK15" s="1317"/>
      <c r="BL15" s="1317"/>
    </row>
    <row r="16" spans="1:65" ht="125.15" customHeight="1" x14ac:dyDescent="0.35">
      <c r="A16" s="1459">
        <v>5</v>
      </c>
      <c r="B16" s="1358" t="s">
        <v>1074</v>
      </c>
      <c r="C16" s="1281" t="s">
        <v>1075</v>
      </c>
      <c r="D16" s="1281" t="s">
        <v>1018</v>
      </c>
      <c r="E16" s="1470"/>
      <c r="F16" s="851"/>
      <c r="G16" s="1092"/>
      <c r="H16" s="826"/>
      <c r="I16" s="826"/>
      <c r="J16" s="826"/>
      <c r="K16" s="826"/>
      <c r="L16" s="826"/>
      <c r="M16" s="826"/>
      <c r="N16" s="828"/>
      <c r="O16" s="1281" t="s">
        <v>1060</v>
      </c>
      <c r="P16" s="1268" t="s">
        <v>1076</v>
      </c>
      <c r="Q16" s="324" t="s">
        <v>1077</v>
      </c>
      <c r="R16" s="324"/>
      <c r="S16" s="1268" t="s">
        <v>1078</v>
      </c>
      <c r="T16" s="1311" t="s">
        <v>1047</v>
      </c>
      <c r="U16" s="566"/>
      <c r="V16" s="1279" t="s">
        <v>2281</v>
      </c>
      <c r="W16" s="638"/>
      <c r="X16" s="563"/>
      <c r="Y16" s="1268" t="s">
        <v>1079</v>
      </c>
      <c r="Z16" s="1311" t="s">
        <v>1050</v>
      </c>
      <c r="AA16" s="684"/>
      <c r="AB16" s="569"/>
      <c r="AC16" s="1268" t="s">
        <v>1080</v>
      </c>
      <c r="AD16" s="1311" t="s">
        <v>1050</v>
      </c>
      <c r="AE16" s="638"/>
      <c r="AF16" s="1457" t="s">
        <v>1081</v>
      </c>
      <c r="AG16" s="1309">
        <v>5</v>
      </c>
      <c r="AH16" s="1275">
        <v>5</v>
      </c>
      <c r="AI16" s="1271" t="s">
        <v>1074</v>
      </c>
      <c r="AJ16" s="1293" t="s">
        <v>1075</v>
      </c>
      <c r="AK16" s="1091"/>
      <c r="AL16" s="1091"/>
      <c r="AM16" s="493"/>
      <c r="AN16" s="1091"/>
      <c r="AO16" s="1087"/>
      <c r="AP16" s="489"/>
      <c r="AQ16" s="489"/>
      <c r="AR16" s="589" t="s">
        <v>1082</v>
      </c>
      <c r="AS16" s="569" t="s">
        <v>1082</v>
      </c>
      <c r="AT16" s="569" t="s">
        <v>1082</v>
      </c>
      <c r="AU16" s="569" t="s">
        <v>1082</v>
      </c>
      <c r="AV16" s="569" t="s">
        <v>1082</v>
      </c>
      <c r="AW16" s="569" t="s">
        <v>1082</v>
      </c>
      <c r="AX16" s="727" t="s">
        <v>1036</v>
      </c>
      <c r="AY16" s="727" t="s">
        <v>1036</v>
      </c>
      <c r="AZ16" s="727" t="s">
        <v>1036</v>
      </c>
      <c r="BA16" s="727" t="s">
        <v>1036</v>
      </c>
      <c r="BB16" s="727" t="s">
        <v>1036</v>
      </c>
      <c r="BC16" s="727" t="s">
        <v>1036</v>
      </c>
      <c r="BD16" s="727" t="s">
        <v>1036</v>
      </c>
      <c r="BE16" s="727" t="s">
        <v>1036</v>
      </c>
      <c r="BF16" s="589" t="s">
        <v>1082</v>
      </c>
      <c r="BG16" s="643" t="s">
        <v>1083</v>
      </c>
      <c r="BH16" s="1088"/>
      <c r="BI16" s="1432">
        <v>5</v>
      </c>
      <c r="BJ16" s="823"/>
      <c r="BK16" s="1316"/>
      <c r="BL16" s="1316"/>
    </row>
    <row r="17" spans="1:65" ht="125.15" customHeight="1" x14ac:dyDescent="0.35">
      <c r="A17" s="1460"/>
      <c r="B17" s="1359"/>
      <c r="C17" s="1282"/>
      <c r="D17" s="1282"/>
      <c r="E17" s="1471"/>
      <c r="F17" s="1313" t="s">
        <v>1084</v>
      </c>
      <c r="G17" s="1314"/>
      <c r="H17" s="1314"/>
      <c r="I17" s="1314"/>
      <c r="J17" s="1314"/>
      <c r="K17" s="1314"/>
      <c r="L17" s="1314"/>
      <c r="M17" s="1314"/>
      <c r="N17" s="1315"/>
      <c r="O17" s="1282"/>
      <c r="P17" s="1270"/>
      <c r="Q17" s="456">
        <f>(6*210*(Indexation!J40))</f>
        <v>22734821.31736527</v>
      </c>
      <c r="R17" s="456">
        <v>24689104</v>
      </c>
      <c r="S17" s="1270"/>
      <c r="T17" s="1312"/>
      <c r="U17" s="565">
        <v>2250231.7599999998</v>
      </c>
      <c r="V17" s="1308"/>
      <c r="W17" s="637">
        <f>Q17-U17</f>
        <v>20484589.557365268</v>
      </c>
      <c r="X17" s="564">
        <f>SUM(AK17:BE17)</f>
        <v>4514485.9473053897</v>
      </c>
      <c r="Y17" s="1270"/>
      <c r="Z17" s="1312"/>
      <c r="AA17" s="685">
        <f>W17-X17</f>
        <v>15970103.61005988</v>
      </c>
      <c r="AB17" s="564">
        <f>BF17</f>
        <v>5491224</v>
      </c>
      <c r="AC17" s="1270"/>
      <c r="AD17" s="1312"/>
      <c r="AE17" s="637">
        <f>AA17-AB17</f>
        <v>10478879.61005988</v>
      </c>
      <c r="AF17" s="1458"/>
      <c r="AG17" s="1310"/>
      <c r="AH17" s="1276"/>
      <c r="AI17" s="1272"/>
      <c r="AJ17" s="1295"/>
      <c r="AK17" s="641"/>
      <c r="AL17" s="488"/>
      <c r="AM17" s="488"/>
      <c r="AN17" s="488"/>
      <c r="AO17" s="1089"/>
      <c r="AP17" s="488"/>
      <c r="AQ17" s="488"/>
      <c r="AR17" s="599">
        <f>Indexation!J40*(0.3*$AR$4)</f>
        <v>2977178.9820359279</v>
      </c>
      <c r="AS17" s="697">
        <f>Indexation!J40*(0.3*$AS$4)</f>
        <v>378913.68862275447</v>
      </c>
      <c r="AT17" s="697">
        <f>Indexation!J40*(0.3*$AT$4)</f>
        <v>162391.58083832334</v>
      </c>
      <c r="AU17" s="697">
        <f>Indexation!J40*(0.3*$AU$4)</f>
        <v>189456.84431137724</v>
      </c>
      <c r="AV17" s="697">
        <f>Indexation!J40*(0.3*$AV$4)</f>
        <v>189456.84431137724</v>
      </c>
      <c r="AW17" s="697">
        <f>Indexation!J40*(0.3*$AW$4)</f>
        <v>108261.05389221557</v>
      </c>
      <c r="AX17" s="697">
        <f>Indexation!J40*(0.3*$AX$4)</f>
        <v>86608.843113772455</v>
      </c>
      <c r="AY17" s="697">
        <f>Indexation!J40*(0.3*$AY$4)</f>
        <v>81195.790419161669</v>
      </c>
      <c r="AZ17" s="697">
        <f>Indexation!J40*(0.3*$AZ$4)</f>
        <v>70369.685029940112</v>
      </c>
      <c r="BA17" s="697">
        <f>Indexation!J40*(0.3*$BA$4)</f>
        <v>54130.526946107784</v>
      </c>
      <c r="BB17" s="697">
        <f>Indexation!J40*(0.3*$BB$4)</f>
        <v>54130.526946107784</v>
      </c>
      <c r="BC17" s="697">
        <f>Indexation!J40*(0.3*$BC$4)</f>
        <v>54130.526946107784</v>
      </c>
      <c r="BD17" s="697">
        <f>Indexation!J40*(0.3*$BD$4)</f>
        <v>54130.526946107784</v>
      </c>
      <c r="BE17" s="697">
        <f>Indexation!J40*(0.3*$BE$4)</f>
        <v>54130.526946107784</v>
      </c>
      <c r="BF17" s="599">
        <f>17268*(0.15*$BF$4)</f>
        <v>5491224</v>
      </c>
      <c r="BG17" s="711"/>
      <c r="BH17" s="817"/>
      <c r="BI17" s="1433"/>
      <c r="BJ17" s="823"/>
      <c r="BK17" s="1317"/>
      <c r="BL17" s="1317"/>
    </row>
    <row r="18" spans="1:65" ht="125.15" customHeight="1" x14ac:dyDescent="0.35">
      <c r="A18" s="1459">
        <v>6</v>
      </c>
      <c r="B18" s="1358" t="s">
        <v>894</v>
      </c>
      <c r="C18" s="1281" t="s">
        <v>1085</v>
      </c>
      <c r="D18" s="1281" t="s">
        <v>1056</v>
      </c>
      <c r="E18" s="1470"/>
      <c r="F18" s="1081"/>
      <c r="G18" s="826"/>
      <c r="H18" s="826"/>
      <c r="I18" s="826"/>
      <c r="J18" s="827"/>
      <c r="K18" s="826"/>
      <c r="L18" s="826"/>
      <c r="M18" s="826"/>
      <c r="N18" s="828"/>
      <c r="O18" s="1281" t="s">
        <v>1060</v>
      </c>
      <c r="P18" s="1268" t="s">
        <v>1086</v>
      </c>
      <c r="Q18" s="330" t="s">
        <v>1087</v>
      </c>
      <c r="R18" s="330"/>
      <c r="S18" s="1268" t="s">
        <v>1088</v>
      </c>
      <c r="T18" s="1311" t="s">
        <v>1047</v>
      </c>
      <c r="U18" s="329"/>
      <c r="V18" s="1279"/>
      <c r="W18" s="632"/>
      <c r="X18" s="563" t="s">
        <v>1087</v>
      </c>
      <c r="Y18" s="1268" t="s">
        <v>1089</v>
      </c>
      <c r="Z18" s="1311" t="s">
        <v>1050</v>
      </c>
      <c r="AA18" s="618"/>
      <c r="AB18" s="493"/>
      <c r="AC18" s="1268"/>
      <c r="AD18" s="1311"/>
      <c r="AE18" s="618"/>
      <c r="AF18" s="1472"/>
      <c r="AG18" s="1309">
        <v>6</v>
      </c>
      <c r="AH18" s="1275">
        <v>6</v>
      </c>
      <c r="AI18" s="1271" t="s">
        <v>894</v>
      </c>
      <c r="AJ18" s="1293" t="s">
        <v>1085</v>
      </c>
      <c r="AK18" s="1093"/>
      <c r="AL18" s="493"/>
      <c r="AM18" s="1478" t="s">
        <v>1087</v>
      </c>
      <c r="AN18" s="1479"/>
      <c r="AO18" s="493"/>
      <c r="AP18" s="563" t="s">
        <v>1087</v>
      </c>
      <c r="AQ18" s="698" t="s">
        <v>1087</v>
      </c>
      <c r="AR18" s="618"/>
      <c r="AS18" s="329"/>
      <c r="AT18" s="329"/>
      <c r="AU18" s="329"/>
      <c r="AV18" s="329"/>
      <c r="AW18" s="329"/>
      <c r="AX18" s="329"/>
      <c r="AY18" s="329"/>
      <c r="AZ18" s="329"/>
      <c r="BA18" s="329"/>
      <c r="BB18" s="329"/>
      <c r="BC18" s="329"/>
      <c r="BD18" s="329"/>
      <c r="BE18" s="489"/>
      <c r="BF18" s="618"/>
      <c r="BG18" s="329"/>
      <c r="BH18" s="815"/>
      <c r="BI18" s="1432">
        <v>6</v>
      </c>
      <c r="BJ18" s="823"/>
      <c r="BK18" s="1316"/>
      <c r="BL18" s="1316"/>
    </row>
    <row r="19" spans="1:65" ht="125.15" customHeight="1" x14ac:dyDescent="0.35">
      <c r="A19" s="1460"/>
      <c r="B19" s="1359"/>
      <c r="C19" s="1282"/>
      <c r="D19" s="1282"/>
      <c r="E19" s="1471"/>
      <c r="F19" s="1313" t="s">
        <v>1090</v>
      </c>
      <c r="G19" s="1314"/>
      <c r="H19" s="1314"/>
      <c r="I19" s="1314"/>
      <c r="J19" s="1314"/>
      <c r="K19" s="1314"/>
      <c r="L19" s="1314"/>
      <c r="M19" s="1314"/>
      <c r="N19" s="1315"/>
      <c r="O19" s="1282"/>
      <c r="P19" s="1270"/>
      <c r="Q19" s="456">
        <f>SUM(AK19:BE19)</f>
        <v>3900081.2694610776</v>
      </c>
      <c r="R19" s="456">
        <v>4235332</v>
      </c>
      <c r="S19" s="1270"/>
      <c r="T19" s="1312"/>
      <c r="U19" s="334"/>
      <c r="V19" s="1308"/>
      <c r="W19" s="633">
        <f>Q19</f>
        <v>3900081.2694610776</v>
      </c>
      <c r="X19" s="564">
        <f>SUM(AK19:BE19)</f>
        <v>3900081.2694610776</v>
      </c>
      <c r="Y19" s="1270"/>
      <c r="Z19" s="1312"/>
      <c r="AA19" s="628"/>
      <c r="AB19" s="328"/>
      <c r="AC19" s="1270"/>
      <c r="AD19" s="1312"/>
      <c r="AE19" s="628"/>
      <c r="AF19" s="1473"/>
      <c r="AG19" s="1310"/>
      <c r="AH19" s="1276"/>
      <c r="AI19" s="1272"/>
      <c r="AJ19" s="1295"/>
      <c r="AK19" s="1094"/>
      <c r="AL19" s="328"/>
      <c r="AM19" s="564">
        <f>Indexation!J44*(AM4*0.007)</f>
        <v>1560032.5077844311</v>
      </c>
      <c r="AN19" s="564">
        <f>Indexation!J44*(AN4*0.007)</f>
        <v>450009.37724550895</v>
      </c>
      <c r="AO19" s="328"/>
      <c r="AP19" s="564">
        <f>Indexation!J44*(AP4*0.007)</f>
        <v>1260026.2562874253</v>
      </c>
      <c r="AQ19" s="697">
        <f>Indexation!J44*(AQ4*0.007)</f>
        <v>630013.12814371265</v>
      </c>
      <c r="AR19" s="628"/>
      <c r="AS19" s="328"/>
      <c r="AT19" s="328"/>
      <c r="AU19" s="328"/>
      <c r="AV19" s="328"/>
      <c r="AW19" s="328"/>
      <c r="AX19" s="328"/>
      <c r="AY19" s="328"/>
      <c r="AZ19" s="328"/>
      <c r="BA19" s="328"/>
      <c r="BB19" s="328"/>
      <c r="BC19" s="328"/>
      <c r="BD19" s="328"/>
      <c r="BE19" s="583"/>
      <c r="BF19" s="598"/>
      <c r="BG19" s="328"/>
      <c r="BH19" s="817"/>
      <c r="BI19" s="1433"/>
      <c r="BJ19" s="823"/>
      <c r="BK19" s="1317"/>
      <c r="BL19" s="1317"/>
    </row>
    <row r="20" spans="1:65" ht="17.25" customHeight="1" x14ac:dyDescent="0.35">
      <c r="A20" s="821"/>
      <c r="B20" s="795"/>
      <c r="C20" s="302" t="s">
        <v>1091</v>
      </c>
      <c r="D20" s="302"/>
      <c r="E20" s="303"/>
      <c r="F20" s="303"/>
      <c r="G20" s="303"/>
      <c r="H20" s="303"/>
      <c r="I20" s="303"/>
      <c r="J20" s="303"/>
      <c r="K20" s="303"/>
      <c r="L20" s="303"/>
      <c r="M20" s="303"/>
      <c r="N20" s="307"/>
      <c r="O20" s="303"/>
      <c r="P20" s="302"/>
      <c r="Q20" s="305"/>
      <c r="R20" s="305"/>
      <c r="S20" s="306"/>
      <c r="T20" s="560"/>
      <c r="U20" s="305"/>
      <c r="V20" s="506"/>
      <c r="W20" s="584"/>
      <c r="X20" s="305"/>
      <c r="Y20" s="307"/>
      <c r="Z20" s="560"/>
      <c r="AA20" s="584"/>
      <c r="AB20" s="305"/>
      <c r="AC20" s="307"/>
      <c r="AD20" s="560"/>
      <c r="AE20" s="584"/>
      <c r="AF20" s="1075"/>
      <c r="AG20" s="1078"/>
      <c r="AH20" s="1079"/>
      <c r="AI20" s="800"/>
      <c r="AJ20" s="570" t="s">
        <v>1091</v>
      </c>
      <c r="AK20" s="802"/>
      <c r="AL20" s="803"/>
      <c r="AM20" s="804"/>
      <c r="AN20" s="803"/>
      <c r="AO20" s="803"/>
      <c r="AP20" s="803"/>
      <c r="AQ20" s="804"/>
      <c r="AR20" s="805"/>
      <c r="AS20" s="803"/>
      <c r="AT20" s="803"/>
      <c r="AU20" s="803"/>
      <c r="AV20" s="803"/>
      <c r="AW20" s="803"/>
      <c r="AX20" s="803"/>
      <c r="AY20" s="803"/>
      <c r="AZ20" s="803"/>
      <c r="BA20" s="803"/>
      <c r="BB20" s="803"/>
      <c r="BC20" s="803"/>
      <c r="BD20" s="803"/>
      <c r="BE20" s="804"/>
      <c r="BF20" s="805"/>
      <c r="BG20" s="302"/>
      <c r="BH20" s="570"/>
      <c r="BI20" s="1080"/>
      <c r="BJ20" s="823"/>
      <c r="BK20" s="807"/>
      <c r="BL20" s="807"/>
    </row>
    <row r="21" spans="1:65" ht="125.15" customHeight="1" x14ac:dyDescent="0.35">
      <c r="A21" s="1459">
        <v>7</v>
      </c>
      <c r="B21" s="1358" t="s">
        <v>1092</v>
      </c>
      <c r="C21" s="1281" t="s">
        <v>1093</v>
      </c>
      <c r="D21" s="1281" t="s">
        <v>1043</v>
      </c>
      <c r="E21" s="1470"/>
      <c r="F21" s="851"/>
      <c r="G21" s="826"/>
      <c r="H21" s="1082"/>
      <c r="I21" s="1082"/>
      <c r="J21" s="1082"/>
      <c r="K21" s="1082"/>
      <c r="L21" s="1095"/>
      <c r="M21" s="826"/>
      <c r="N21" s="828"/>
      <c r="O21" s="1281" t="s">
        <v>1044</v>
      </c>
      <c r="P21" s="1268" t="s">
        <v>1094</v>
      </c>
      <c r="Q21" s="324" t="s">
        <v>1095</v>
      </c>
      <c r="R21" s="324" t="s">
        <v>2187</v>
      </c>
      <c r="S21" s="1268" t="s">
        <v>2282</v>
      </c>
      <c r="T21" s="1311" t="s">
        <v>1096</v>
      </c>
      <c r="U21" s="329"/>
      <c r="V21" s="1279"/>
      <c r="W21" s="632"/>
      <c r="X21" s="569" t="s">
        <v>1097</v>
      </c>
      <c r="Y21" s="1268" t="s">
        <v>2283</v>
      </c>
      <c r="Z21" s="1311" t="s">
        <v>1050</v>
      </c>
      <c r="AA21" s="618"/>
      <c r="AB21" s="329"/>
      <c r="AC21" s="1268"/>
      <c r="AD21" s="1311"/>
      <c r="AE21" s="618"/>
      <c r="AF21" s="1472"/>
      <c r="AG21" s="1309">
        <v>7</v>
      </c>
      <c r="AH21" s="1275">
        <v>7</v>
      </c>
      <c r="AI21" s="1296" t="s">
        <v>1092</v>
      </c>
      <c r="AJ21" s="1294" t="s">
        <v>1098</v>
      </c>
      <c r="AK21" s="563" t="s">
        <v>1097</v>
      </c>
      <c r="AL21" s="691"/>
      <c r="AM21" s="480"/>
      <c r="AN21" s="1096"/>
      <c r="AO21" s="480"/>
      <c r="AP21" s="480"/>
      <c r="AQ21" s="1097"/>
      <c r="AR21" s="610"/>
      <c r="AS21" s="480"/>
      <c r="AT21" s="480"/>
      <c r="AU21" s="480"/>
      <c r="AV21" s="480"/>
      <c r="AW21" s="480"/>
      <c r="AX21" s="893"/>
      <c r="AY21" s="893"/>
      <c r="AZ21" s="893"/>
      <c r="BA21" s="893"/>
      <c r="BB21" s="893"/>
      <c r="BC21" s="893"/>
      <c r="BD21" s="893"/>
      <c r="BE21" s="894"/>
      <c r="BF21" s="896"/>
      <c r="BG21" s="626"/>
      <c r="BH21" s="1098"/>
      <c r="BI21" s="1432">
        <v>7</v>
      </c>
      <c r="BJ21" s="823"/>
      <c r="BK21" s="1316"/>
      <c r="BL21" s="1316"/>
    </row>
    <row r="22" spans="1:65" ht="301.5" customHeight="1" x14ac:dyDescent="0.35">
      <c r="A22" s="1460"/>
      <c r="B22" s="1362"/>
      <c r="C22" s="1302"/>
      <c r="D22" s="1302"/>
      <c r="E22" s="1485"/>
      <c r="F22" s="1355" t="s">
        <v>1053</v>
      </c>
      <c r="G22" s="1356"/>
      <c r="H22" s="1356"/>
      <c r="I22" s="1356"/>
      <c r="J22" s="1356"/>
      <c r="K22" s="1356"/>
      <c r="L22" s="1356"/>
      <c r="M22" s="1356"/>
      <c r="N22" s="1357"/>
      <c r="O22" s="1302"/>
      <c r="P22" s="1269"/>
      <c r="Q22" s="465">
        <f>(40097000+60146000)*1.1</f>
        <v>110267300.00000001</v>
      </c>
      <c r="R22" s="465"/>
      <c r="S22" s="1269"/>
      <c r="T22" s="1312"/>
      <c r="U22" s="331"/>
      <c r="V22" s="1280"/>
      <c r="W22" s="669">
        <f>Q22</f>
        <v>110267300.00000001</v>
      </c>
      <c r="X22" s="664">
        <f>SUM(AK22:BE22)</f>
        <v>110267300.00000001</v>
      </c>
      <c r="Y22" s="1269"/>
      <c r="Z22" s="1312"/>
      <c r="AA22" s="611"/>
      <c r="AB22" s="480"/>
      <c r="AC22" s="1269"/>
      <c r="AD22" s="1334"/>
      <c r="AE22" s="611"/>
      <c r="AF22" s="1484"/>
      <c r="AG22" s="1310"/>
      <c r="AH22" s="1276"/>
      <c r="AI22" s="1272"/>
      <c r="AJ22" s="1295"/>
      <c r="AK22" s="704">
        <f>'Apportionment %'!G55*'Education 2022'!Q22</f>
        <v>82149196.250000015</v>
      </c>
      <c r="AL22" s="697">
        <f>'Apportionment %'!H55*'Education 2022'!Q22</f>
        <v>28118103.750000004</v>
      </c>
      <c r="AM22" s="490"/>
      <c r="AN22" s="490"/>
      <c r="AO22" s="477"/>
      <c r="AP22" s="488"/>
      <c r="AQ22" s="488"/>
      <c r="AR22" s="628"/>
      <c r="AS22" s="488"/>
      <c r="AT22" s="488"/>
      <c r="AU22" s="488"/>
      <c r="AV22" s="488"/>
      <c r="AW22" s="488"/>
      <c r="AX22" s="328"/>
      <c r="AY22" s="328"/>
      <c r="AZ22" s="328"/>
      <c r="BA22" s="328"/>
      <c r="BB22" s="328"/>
      <c r="BC22" s="328"/>
      <c r="BD22" s="328"/>
      <c r="BE22" s="583"/>
      <c r="BF22" s="628"/>
      <c r="BG22" s="583"/>
      <c r="BH22" s="1090"/>
      <c r="BI22" s="1433"/>
      <c r="BJ22" s="823"/>
      <c r="BK22" s="1317"/>
      <c r="BL22" s="1317"/>
    </row>
    <row r="23" spans="1:65" ht="125.15" customHeight="1" x14ac:dyDescent="0.35">
      <c r="A23" s="1459">
        <v>8</v>
      </c>
      <c r="B23" s="1358" t="s">
        <v>1099</v>
      </c>
      <c r="C23" s="1281" t="s">
        <v>2284</v>
      </c>
      <c r="D23" s="1281" t="s">
        <v>1043</v>
      </c>
      <c r="E23" s="1470"/>
      <c r="F23" s="1081"/>
      <c r="G23" s="826"/>
      <c r="H23" s="826"/>
      <c r="I23" s="826"/>
      <c r="J23" s="827"/>
      <c r="K23" s="826"/>
      <c r="L23" s="826"/>
      <c r="M23" s="826"/>
      <c r="N23" s="828"/>
      <c r="O23" s="1281" t="s">
        <v>1100</v>
      </c>
      <c r="P23" s="1281" t="s">
        <v>1101</v>
      </c>
      <c r="Q23" s="324"/>
      <c r="R23" s="324" t="s">
        <v>2187</v>
      </c>
      <c r="S23" s="1268" t="s">
        <v>1102</v>
      </c>
      <c r="T23" s="1311" t="s">
        <v>1103</v>
      </c>
      <c r="U23" s="329"/>
      <c r="V23" s="1279"/>
      <c r="W23" s="632"/>
      <c r="X23" s="569"/>
      <c r="Y23" s="1268" t="s">
        <v>1104</v>
      </c>
      <c r="Z23" s="1311" t="s">
        <v>1103</v>
      </c>
      <c r="AA23" s="618"/>
      <c r="AB23" s="329"/>
      <c r="AC23" s="1268"/>
      <c r="AD23" s="1311"/>
      <c r="AE23" s="618"/>
      <c r="AF23" s="1472"/>
      <c r="AG23" s="1309">
        <v>8</v>
      </c>
      <c r="AH23" s="1275">
        <v>8</v>
      </c>
      <c r="AI23" s="1271" t="s">
        <v>1099</v>
      </c>
      <c r="AJ23" s="1293" t="s">
        <v>1105</v>
      </c>
      <c r="AK23" s="600"/>
      <c r="AL23" s="600"/>
      <c r="AM23" s="887"/>
      <c r="AN23" s="1099"/>
      <c r="AO23" s="493"/>
      <c r="AP23" s="1099"/>
      <c r="AQ23" s="1099"/>
      <c r="AR23" s="597"/>
      <c r="AS23" s="493"/>
      <c r="AT23" s="493"/>
      <c r="AU23" s="493"/>
      <c r="AV23" s="493"/>
      <c r="AW23" s="493"/>
      <c r="AX23" s="493"/>
      <c r="AY23" s="493"/>
      <c r="AZ23" s="493"/>
      <c r="BA23" s="493"/>
      <c r="BB23" s="493"/>
      <c r="BC23" s="493"/>
      <c r="BD23" s="493"/>
      <c r="BE23" s="1099"/>
      <c r="BF23" s="885"/>
      <c r="BG23" s="752"/>
      <c r="BH23" s="815"/>
      <c r="BI23" s="1432">
        <v>8</v>
      </c>
      <c r="BJ23" s="823"/>
      <c r="BK23" s="1316"/>
      <c r="BL23" s="1316"/>
    </row>
    <row r="24" spans="1:65" ht="192.9" customHeight="1" thickBot="1" x14ac:dyDescent="0.4">
      <c r="A24" s="1460"/>
      <c r="B24" s="1359"/>
      <c r="C24" s="1282"/>
      <c r="D24" s="1282"/>
      <c r="E24" s="1471"/>
      <c r="F24" s="1313" t="s">
        <v>1106</v>
      </c>
      <c r="G24" s="1314"/>
      <c r="H24" s="1314"/>
      <c r="I24" s="1314"/>
      <c r="J24" s="1314"/>
      <c r="K24" s="1314"/>
      <c r="L24" s="1314"/>
      <c r="M24" s="1314"/>
      <c r="N24" s="1315"/>
      <c r="O24" s="1282"/>
      <c r="P24" s="1282"/>
      <c r="Q24" s="456">
        <v>6600000</v>
      </c>
      <c r="R24" s="456"/>
      <c r="S24" s="1270"/>
      <c r="T24" s="1312"/>
      <c r="U24" s="334"/>
      <c r="V24" s="1308"/>
      <c r="W24" s="633">
        <f>Q24</f>
        <v>6600000</v>
      </c>
      <c r="X24" s="564">
        <f>W24</f>
        <v>6600000</v>
      </c>
      <c r="Y24" s="1270"/>
      <c r="Z24" s="1312"/>
      <c r="AA24" s="598"/>
      <c r="AB24" s="477"/>
      <c r="AC24" s="1270"/>
      <c r="AD24" s="1312"/>
      <c r="AE24" s="598"/>
      <c r="AF24" s="1473"/>
      <c r="AG24" s="1310"/>
      <c r="AH24" s="1276"/>
      <c r="AI24" s="1297"/>
      <c r="AJ24" s="1300"/>
      <c r="AK24" s="1100">
        <f>'Apportionment %'!G52*'Education 2022'!Q24</f>
        <v>4175000.0000000028</v>
      </c>
      <c r="AL24" s="1100">
        <f>'Apportionment %'!H52*'Education 2022'!Q24</f>
        <v>2424999.9999999972</v>
      </c>
      <c r="AM24" s="1101"/>
      <c r="AN24" s="1101"/>
      <c r="AO24" s="619"/>
      <c r="AP24" s="1101"/>
      <c r="AQ24" s="1101"/>
      <c r="AR24" s="1102"/>
      <c r="AS24" s="619"/>
      <c r="AT24" s="619"/>
      <c r="AU24" s="619"/>
      <c r="AV24" s="619"/>
      <c r="AW24" s="619"/>
      <c r="AX24" s="619"/>
      <c r="AY24" s="619"/>
      <c r="AZ24" s="619"/>
      <c r="BA24" s="619"/>
      <c r="BB24" s="619"/>
      <c r="BC24" s="619"/>
      <c r="BD24" s="619"/>
      <c r="BE24" s="1101"/>
      <c r="BF24" s="927"/>
      <c r="BG24" s="756"/>
      <c r="BH24" s="1103"/>
      <c r="BI24" s="1433"/>
      <c r="BJ24" s="823"/>
      <c r="BK24" s="1317"/>
      <c r="BL24" s="1317"/>
    </row>
    <row r="25" spans="1:65" ht="15" customHeight="1" x14ac:dyDescent="0.35">
      <c r="A25" s="868"/>
      <c r="B25" s="1072" t="s">
        <v>449</v>
      </c>
      <c r="C25" s="1072" t="s">
        <v>450</v>
      </c>
      <c r="D25" s="1072" t="s">
        <v>451</v>
      </c>
      <c r="E25" s="1072" t="s">
        <v>452</v>
      </c>
      <c r="F25" s="1454" t="s">
        <v>453</v>
      </c>
      <c r="G25" s="1455"/>
      <c r="H25" s="1455"/>
      <c r="I25" s="1455"/>
      <c r="J25" s="1455"/>
      <c r="K25" s="1455"/>
      <c r="L25" s="1455"/>
      <c r="M25" s="1455"/>
      <c r="N25" s="1456"/>
      <c r="O25" s="1072" t="s">
        <v>454</v>
      </c>
      <c r="P25" s="1072" t="s">
        <v>455</v>
      </c>
      <c r="Q25" s="1072" t="s">
        <v>456</v>
      </c>
      <c r="R25" s="1072"/>
      <c r="S25" s="1072" t="s">
        <v>457</v>
      </c>
      <c r="T25" s="1072" t="s">
        <v>458</v>
      </c>
      <c r="U25" s="1072" t="s">
        <v>459</v>
      </c>
      <c r="V25" s="1072" t="s">
        <v>460</v>
      </c>
      <c r="W25" s="1072" t="s">
        <v>461</v>
      </c>
      <c r="X25" s="1072" t="s">
        <v>242</v>
      </c>
      <c r="Y25" s="1072" t="s">
        <v>462</v>
      </c>
      <c r="Z25" s="1072" t="s">
        <v>463</v>
      </c>
      <c r="AA25" s="1072" t="s">
        <v>464</v>
      </c>
      <c r="AB25" s="1072" t="s">
        <v>465</v>
      </c>
      <c r="AC25" s="1072" t="s">
        <v>466</v>
      </c>
      <c r="AD25" s="1072" t="s">
        <v>467</v>
      </c>
      <c r="AE25" s="1072" t="s">
        <v>468</v>
      </c>
      <c r="AF25" s="1072" t="s">
        <v>469</v>
      </c>
      <c r="AG25" s="1072"/>
      <c r="AH25" s="1072"/>
      <c r="AI25" s="1072" t="s">
        <v>449</v>
      </c>
      <c r="AJ25" s="1072" t="s">
        <v>1107</v>
      </c>
      <c r="AK25" s="1072" t="s">
        <v>471</v>
      </c>
      <c r="AL25" s="1073" t="s">
        <v>472</v>
      </c>
      <c r="AM25" s="1072" t="s">
        <v>473</v>
      </c>
      <c r="AN25" s="1072" t="s">
        <v>474</v>
      </c>
      <c r="AO25" s="1072" t="s">
        <v>475</v>
      </c>
      <c r="AP25" s="1072" t="s">
        <v>476</v>
      </c>
      <c r="AQ25" s="1072" t="s">
        <v>477</v>
      </c>
      <c r="AR25" s="1072" t="s">
        <v>478</v>
      </c>
      <c r="AS25" s="1072" t="s">
        <v>479</v>
      </c>
      <c r="AT25" s="1072" t="s">
        <v>480</v>
      </c>
      <c r="AU25" s="1072" t="s">
        <v>481</v>
      </c>
      <c r="AV25" s="1072" t="s">
        <v>482</v>
      </c>
      <c r="AW25" s="1072" t="s">
        <v>483</v>
      </c>
      <c r="AX25" s="1072" t="s">
        <v>484</v>
      </c>
      <c r="AY25" s="1072" t="s">
        <v>485</v>
      </c>
      <c r="AZ25" s="1072" t="s">
        <v>486</v>
      </c>
      <c r="BA25" s="1072" t="s">
        <v>487</v>
      </c>
      <c r="BB25" s="1072" t="s">
        <v>488</v>
      </c>
      <c r="BC25" s="1072" t="s">
        <v>489</v>
      </c>
      <c r="BD25" s="1072" t="s">
        <v>490</v>
      </c>
      <c r="BE25" s="1072" t="s">
        <v>491</v>
      </c>
      <c r="BF25" s="1073" t="s">
        <v>492</v>
      </c>
      <c r="BG25" s="1072" t="s">
        <v>493</v>
      </c>
      <c r="BH25" s="1072" t="s">
        <v>494</v>
      </c>
    </row>
    <row r="26" spans="1:65" ht="39.9" customHeight="1" x14ac:dyDescent="0.35">
      <c r="A26" s="757"/>
      <c r="B26" s="1461" t="s">
        <v>448</v>
      </c>
      <c r="C26" s="1462"/>
      <c r="D26" s="1462"/>
      <c r="E26" s="1462"/>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759"/>
      <c r="AI26" s="1461" t="s">
        <v>448</v>
      </c>
      <c r="AJ26" s="1462"/>
      <c r="AK26" s="1462"/>
      <c r="AL26" s="1462"/>
      <c r="AM26" s="1462"/>
      <c r="AN26" s="1462"/>
      <c r="AO26" s="1462"/>
      <c r="AP26" s="1462"/>
      <c r="AQ26" s="1462"/>
      <c r="AR26" s="1462"/>
      <c r="AS26" s="1462"/>
      <c r="AT26" s="1462"/>
      <c r="AU26" s="1462"/>
      <c r="AV26" s="1462"/>
      <c r="AW26" s="1462"/>
      <c r="AX26" s="1462"/>
      <c r="AY26" s="1462"/>
      <c r="AZ26" s="1462"/>
      <c r="BA26" s="1462"/>
      <c r="BB26" s="1462"/>
      <c r="BC26" s="1462"/>
      <c r="BD26" s="1462"/>
      <c r="BE26" s="1462"/>
      <c r="BF26" s="1462"/>
      <c r="BG26" s="1462"/>
      <c r="BH26" s="1463"/>
      <c r="BI26" s="759"/>
      <c r="BJ26" s="760"/>
      <c r="BK26" s="760"/>
      <c r="BL26" s="760"/>
      <c r="BM26" s="760"/>
    </row>
    <row r="27" spans="1:65" ht="15" customHeight="1" thickBot="1" x14ac:dyDescent="0.4">
      <c r="B27" s="1072" t="s">
        <v>449</v>
      </c>
      <c r="C27" s="1072" t="s">
        <v>450</v>
      </c>
      <c r="D27" s="1072" t="s">
        <v>451</v>
      </c>
      <c r="E27" s="1072" t="s">
        <v>452</v>
      </c>
      <c r="F27" s="1451" t="s">
        <v>453</v>
      </c>
      <c r="G27" s="1452"/>
      <c r="H27" s="1452"/>
      <c r="I27" s="1452"/>
      <c r="J27" s="1452"/>
      <c r="K27" s="1452"/>
      <c r="L27" s="1452"/>
      <c r="M27" s="1452"/>
      <c r="N27" s="1453"/>
      <c r="O27" s="1072" t="s">
        <v>454</v>
      </c>
      <c r="P27" s="1072" t="s">
        <v>455</v>
      </c>
      <c r="Q27" s="1072" t="s">
        <v>456</v>
      </c>
      <c r="R27" s="1072"/>
      <c r="S27" s="1072" t="s">
        <v>457</v>
      </c>
      <c r="T27" s="1072" t="s">
        <v>458</v>
      </c>
      <c r="U27" s="1072" t="s">
        <v>459</v>
      </c>
      <c r="V27" s="1072" t="s">
        <v>460</v>
      </c>
      <c r="W27" s="1072" t="s">
        <v>461</v>
      </c>
      <c r="X27" s="1072" t="s">
        <v>242</v>
      </c>
      <c r="Y27" s="1072" t="s">
        <v>462</v>
      </c>
      <c r="Z27" s="1072" t="s">
        <v>463</v>
      </c>
      <c r="AA27" s="1072" t="s">
        <v>464</v>
      </c>
      <c r="AB27" s="1072" t="s">
        <v>465</v>
      </c>
      <c r="AC27" s="1072" t="s">
        <v>466</v>
      </c>
      <c r="AD27" s="1072" t="s">
        <v>467</v>
      </c>
      <c r="AE27" s="1072" t="s">
        <v>468</v>
      </c>
      <c r="AF27" s="1072" t="s">
        <v>469</v>
      </c>
      <c r="AG27" s="1072"/>
      <c r="AH27" s="1072"/>
      <c r="AI27" s="1072" t="s">
        <v>449</v>
      </c>
      <c r="AJ27" s="1072" t="s">
        <v>450</v>
      </c>
      <c r="AK27" s="1072" t="s">
        <v>471</v>
      </c>
      <c r="AL27" s="1073" t="s">
        <v>472</v>
      </c>
      <c r="AM27" s="1072" t="s">
        <v>473</v>
      </c>
      <c r="AN27" s="1072" t="s">
        <v>474</v>
      </c>
      <c r="AO27" s="1072" t="s">
        <v>475</v>
      </c>
      <c r="AP27" s="1072" t="s">
        <v>476</v>
      </c>
      <c r="AQ27" s="1072" t="s">
        <v>477</v>
      </c>
      <c r="AR27" s="1072" t="s">
        <v>478</v>
      </c>
      <c r="AS27" s="1072" t="s">
        <v>479</v>
      </c>
      <c r="AT27" s="1072" t="s">
        <v>480</v>
      </c>
      <c r="AU27" s="1072" t="s">
        <v>481</v>
      </c>
      <c r="AV27" s="1072" t="s">
        <v>482</v>
      </c>
      <c r="AW27" s="1072" t="s">
        <v>483</v>
      </c>
      <c r="AX27" s="1072" t="s">
        <v>484</v>
      </c>
      <c r="AY27" s="1072" t="s">
        <v>485</v>
      </c>
      <c r="AZ27" s="1072" t="s">
        <v>486</v>
      </c>
      <c r="BA27" s="1072" t="s">
        <v>487</v>
      </c>
      <c r="BB27" s="1072" t="s">
        <v>488</v>
      </c>
      <c r="BC27" s="1072" t="s">
        <v>489</v>
      </c>
      <c r="BD27" s="1072" t="s">
        <v>490</v>
      </c>
      <c r="BE27" s="1072" t="s">
        <v>491</v>
      </c>
      <c r="BF27" s="1073" t="s">
        <v>492</v>
      </c>
      <c r="BG27" s="1072" t="s">
        <v>493</v>
      </c>
      <c r="BH27" s="1072" t="s">
        <v>494</v>
      </c>
    </row>
    <row r="28" spans="1:65" ht="99.9" customHeight="1" x14ac:dyDescent="0.35">
      <c r="A28" s="1104"/>
      <c r="B28" s="1408" t="s">
        <v>2231</v>
      </c>
      <c r="C28" s="874"/>
      <c r="D28" s="1285" t="s">
        <v>495</v>
      </c>
      <c r="E28" s="1402" t="s">
        <v>496</v>
      </c>
      <c r="F28" s="1403" t="s">
        <v>219</v>
      </c>
      <c r="G28" s="1403"/>
      <c r="H28" s="1403"/>
      <c r="I28" s="1403"/>
      <c r="J28" s="1403"/>
      <c r="K28" s="1403"/>
      <c r="L28" s="1403"/>
      <c r="M28" s="1403"/>
      <c r="N28" s="1403"/>
      <c r="O28" s="1285" t="s">
        <v>214</v>
      </c>
      <c r="P28" s="1404" t="s">
        <v>497</v>
      </c>
      <c r="Q28" s="1285" t="s">
        <v>498</v>
      </c>
      <c r="R28" s="1491" t="s">
        <v>2190</v>
      </c>
      <c r="S28" s="1318" t="s">
        <v>499</v>
      </c>
      <c r="T28" s="1287" t="s">
        <v>501</v>
      </c>
      <c r="U28" s="1319" t="s">
        <v>2</v>
      </c>
      <c r="V28" s="1287" t="s">
        <v>500</v>
      </c>
      <c r="W28" s="1289" t="s">
        <v>856</v>
      </c>
      <c r="X28" s="1283" t="s">
        <v>503</v>
      </c>
      <c r="Y28" s="1285" t="s">
        <v>504</v>
      </c>
      <c r="Z28" s="1287" t="s">
        <v>505</v>
      </c>
      <c r="AA28" s="1289" t="s">
        <v>506</v>
      </c>
      <c r="AB28" s="1283" t="s">
        <v>1011</v>
      </c>
      <c r="AC28" s="1285" t="s">
        <v>504</v>
      </c>
      <c r="AD28" s="1287" t="s">
        <v>505</v>
      </c>
      <c r="AE28" s="1289" t="s">
        <v>508</v>
      </c>
      <c r="AF28" s="1482" t="s">
        <v>509</v>
      </c>
      <c r="AI28" s="1298" t="s">
        <v>2231</v>
      </c>
      <c r="AJ28" s="875"/>
      <c r="AK28" s="876" t="s">
        <v>2234</v>
      </c>
      <c r="AL28" s="877" t="s">
        <v>2235</v>
      </c>
      <c r="AM28" s="877" t="s">
        <v>2236</v>
      </c>
      <c r="AN28" s="877" t="s">
        <v>2237</v>
      </c>
      <c r="AO28" s="877" t="s">
        <v>2238</v>
      </c>
      <c r="AP28" s="877" t="s">
        <v>2239</v>
      </c>
      <c r="AQ28" s="878" t="s">
        <v>2240</v>
      </c>
      <c r="AR28" s="879" t="s">
        <v>2241</v>
      </c>
      <c r="AS28" s="877" t="s">
        <v>2242</v>
      </c>
      <c r="AT28" s="877" t="s">
        <v>2243</v>
      </c>
      <c r="AU28" s="877" t="s">
        <v>2244</v>
      </c>
      <c r="AV28" s="877" t="s">
        <v>2245</v>
      </c>
      <c r="AW28" s="877" t="s">
        <v>2246</v>
      </c>
      <c r="AX28" s="877" t="s">
        <v>2247</v>
      </c>
      <c r="AY28" s="877" t="s">
        <v>2248</v>
      </c>
      <c r="AZ28" s="877" t="s">
        <v>2249</v>
      </c>
      <c r="BA28" s="877" t="s">
        <v>2250</v>
      </c>
      <c r="BB28" s="877" t="s">
        <v>2251</v>
      </c>
      <c r="BC28" s="877" t="s">
        <v>2252</v>
      </c>
      <c r="BD28" s="877" t="s">
        <v>2253</v>
      </c>
      <c r="BE28" s="878" t="s">
        <v>2254</v>
      </c>
      <c r="BF28" s="879" t="s">
        <v>2255</v>
      </c>
      <c r="BG28" s="1436" t="s">
        <v>41</v>
      </c>
      <c r="BH28" s="1437" t="s">
        <v>42</v>
      </c>
      <c r="BJ28" s="777"/>
      <c r="BK28" s="778"/>
      <c r="BL28" s="778"/>
    </row>
    <row r="29" spans="1:65" s="793" customFormat="1" ht="50.15" customHeight="1" x14ac:dyDescent="0.35">
      <c r="A29" s="1105"/>
      <c r="B29" s="1393"/>
      <c r="C29" s="780" t="s">
        <v>1012</v>
      </c>
      <c r="D29" s="1286"/>
      <c r="E29" s="1395"/>
      <c r="F29" s="333" t="s">
        <v>512</v>
      </c>
      <c r="G29" s="333" t="s">
        <v>513</v>
      </c>
      <c r="H29" s="333" t="s">
        <v>514</v>
      </c>
      <c r="I29" s="333" t="s">
        <v>515</v>
      </c>
      <c r="J29" s="333" t="s">
        <v>516</v>
      </c>
      <c r="K29" s="333" t="s">
        <v>517</v>
      </c>
      <c r="L29" s="333" t="s">
        <v>518</v>
      </c>
      <c r="M29" s="333" t="s">
        <v>519</v>
      </c>
      <c r="N29" s="333" t="s">
        <v>520</v>
      </c>
      <c r="O29" s="1397"/>
      <c r="P29" s="1401"/>
      <c r="Q29" s="1286"/>
      <c r="R29" s="1322"/>
      <c r="S29" s="1241"/>
      <c r="T29" s="1288"/>
      <c r="U29" s="1320"/>
      <c r="V29" s="1288"/>
      <c r="W29" s="1290"/>
      <c r="X29" s="1284"/>
      <c r="Y29" s="1286"/>
      <c r="Z29" s="1288"/>
      <c r="AA29" s="1290"/>
      <c r="AB29" s="1284"/>
      <c r="AC29" s="1286"/>
      <c r="AD29" s="1288"/>
      <c r="AE29" s="1290"/>
      <c r="AF29" s="1483"/>
      <c r="AG29" s="880"/>
      <c r="AH29" s="880"/>
      <c r="AI29" s="1299"/>
      <c r="AJ29" s="783" t="s">
        <v>1012</v>
      </c>
      <c r="AK29" s="784">
        <v>8500</v>
      </c>
      <c r="AL29" s="785">
        <v>1500</v>
      </c>
      <c r="AM29" s="785">
        <v>2600</v>
      </c>
      <c r="AN29" s="786">
        <v>750</v>
      </c>
      <c r="AO29" s="786" t="s">
        <v>48</v>
      </c>
      <c r="AP29" s="785">
        <v>2100</v>
      </c>
      <c r="AQ29" s="787">
        <v>1050</v>
      </c>
      <c r="AR29" s="788">
        <v>550</v>
      </c>
      <c r="AS29" s="786">
        <v>70</v>
      </c>
      <c r="AT29" s="786">
        <v>30</v>
      </c>
      <c r="AU29" s="786">
        <v>35</v>
      </c>
      <c r="AV29" s="786">
        <v>35</v>
      </c>
      <c r="AW29" s="786">
        <v>20</v>
      </c>
      <c r="AX29" s="786">
        <v>16</v>
      </c>
      <c r="AY29" s="786">
        <v>15</v>
      </c>
      <c r="AZ29" s="786">
        <v>13</v>
      </c>
      <c r="BA29" s="786">
        <v>10</v>
      </c>
      <c r="BB29" s="786">
        <v>10</v>
      </c>
      <c r="BC29" s="786">
        <v>10</v>
      </c>
      <c r="BD29" s="786">
        <v>10</v>
      </c>
      <c r="BE29" s="789">
        <v>10</v>
      </c>
      <c r="BF29" s="790">
        <v>2120</v>
      </c>
      <c r="BG29" s="1399"/>
      <c r="BH29" s="1383"/>
      <c r="BI29" s="1074"/>
      <c r="BJ29" s="791"/>
      <c r="BK29" s="792"/>
      <c r="BL29" s="792"/>
    </row>
    <row r="30" spans="1:65" ht="17.25" customHeight="1" x14ac:dyDescent="0.35">
      <c r="A30" s="1077"/>
      <c r="B30" s="795"/>
      <c r="C30" s="819" t="s">
        <v>2285</v>
      </c>
      <c r="D30" s="302"/>
      <c r="E30" s="303"/>
      <c r="F30" s="303"/>
      <c r="G30" s="303"/>
      <c r="H30" s="303"/>
      <c r="I30" s="303"/>
      <c r="J30" s="303"/>
      <c r="K30" s="303"/>
      <c r="L30" s="303"/>
      <c r="M30" s="303"/>
      <c r="N30" s="307"/>
      <c r="O30" s="303"/>
      <c r="P30" s="302"/>
      <c r="Q30" s="305"/>
      <c r="R30" s="305"/>
      <c r="S30" s="306"/>
      <c r="T30" s="560"/>
      <c r="U30" s="305"/>
      <c r="V30" s="506"/>
      <c r="W30" s="584"/>
      <c r="X30" s="305"/>
      <c r="Y30" s="307"/>
      <c r="Z30" s="560"/>
      <c r="AA30" s="584"/>
      <c r="AB30" s="305"/>
      <c r="AC30" s="307"/>
      <c r="AD30" s="560"/>
      <c r="AE30" s="584"/>
      <c r="AF30" s="1075"/>
      <c r="AI30" s="800"/>
      <c r="AJ30" s="570" t="s">
        <v>1091</v>
      </c>
      <c r="AK30" s="802"/>
      <c r="AL30" s="803"/>
      <c r="AM30" s="804"/>
      <c r="AN30" s="803"/>
      <c r="AO30" s="803"/>
      <c r="AP30" s="803"/>
      <c r="AQ30" s="804"/>
      <c r="AR30" s="805"/>
      <c r="AS30" s="803"/>
      <c r="AT30" s="803"/>
      <c r="AU30" s="803"/>
      <c r="AV30" s="803"/>
      <c r="AW30" s="803"/>
      <c r="AX30" s="803"/>
      <c r="AY30" s="803"/>
      <c r="AZ30" s="803"/>
      <c r="BA30" s="803"/>
      <c r="BB30" s="803"/>
      <c r="BC30" s="803"/>
      <c r="BD30" s="803"/>
      <c r="BE30" s="804"/>
      <c r="BF30" s="805"/>
      <c r="BG30" s="302"/>
      <c r="BH30" s="570"/>
      <c r="BJ30" s="823"/>
      <c r="BK30" s="807"/>
      <c r="BL30" s="807"/>
    </row>
    <row r="31" spans="1:65" ht="125.15" customHeight="1" x14ac:dyDescent="0.35">
      <c r="A31" s="1459">
        <v>9</v>
      </c>
      <c r="B31" s="1358" t="s">
        <v>908</v>
      </c>
      <c r="C31" s="1281" t="s">
        <v>1108</v>
      </c>
      <c r="D31" s="1281" t="s">
        <v>1043</v>
      </c>
      <c r="E31" s="1470"/>
      <c r="F31" s="1081"/>
      <c r="G31" s="826"/>
      <c r="H31" s="826"/>
      <c r="I31" s="826"/>
      <c r="J31" s="827"/>
      <c r="K31" s="826"/>
      <c r="L31" s="826"/>
      <c r="M31" s="826"/>
      <c r="N31" s="828"/>
      <c r="O31" s="1281" t="s">
        <v>1044</v>
      </c>
      <c r="P31" s="1268" t="s">
        <v>1109</v>
      </c>
      <c r="Q31" s="330"/>
      <c r="R31" s="330" t="s">
        <v>2187</v>
      </c>
      <c r="S31" s="1268" t="s">
        <v>1110</v>
      </c>
      <c r="T31" s="1311"/>
      <c r="U31" s="329"/>
      <c r="V31" s="1279"/>
      <c r="W31" s="632"/>
      <c r="X31" s="563" t="s">
        <v>1111</v>
      </c>
      <c r="Y31" s="1268"/>
      <c r="Z31" s="1311"/>
      <c r="AA31" s="618"/>
      <c r="AB31" s="331"/>
      <c r="AC31" s="1268"/>
      <c r="AD31" s="1311"/>
      <c r="AE31" s="618"/>
      <c r="AF31" s="1472"/>
      <c r="AG31" s="1309">
        <v>9</v>
      </c>
      <c r="AH31" s="1275">
        <v>9</v>
      </c>
      <c r="AI31" s="1271" t="s">
        <v>908</v>
      </c>
      <c r="AJ31" s="1293" t="s">
        <v>1108</v>
      </c>
      <c r="AK31" s="1106"/>
      <c r="AL31" s="568"/>
      <c r="AM31" s="491"/>
      <c r="AN31" s="491"/>
      <c r="AO31" s="493"/>
      <c r="AP31" s="331"/>
      <c r="AQ31" s="626"/>
      <c r="AR31" s="597"/>
      <c r="AS31" s="493"/>
      <c r="AT31" s="493"/>
      <c r="AU31" s="493"/>
      <c r="AV31" s="493"/>
      <c r="AW31" s="493"/>
      <c r="AX31" s="493"/>
      <c r="AY31" s="493"/>
      <c r="AZ31" s="493"/>
      <c r="BA31" s="493"/>
      <c r="BB31" s="493"/>
      <c r="BC31" s="493"/>
      <c r="BD31" s="493"/>
      <c r="BE31" s="1099"/>
      <c r="BF31" s="597"/>
      <c r="BG31" s="493"/>
      <c r="BH31" s="815"/>
      <c r="BI31" s="1432">
        <v>9</v>
      </c>
      <c r="BJ31" s="823"/>
      <c r="BK31" s="1316"/>
      <c r="BL31" s="1316"/>
    </row>
    <row r="32" spans="1:65" ht="125.15" customHeight="1" x14ac:dyDescent="0.35">
      <c r="A32" s="1460"/>
      <c r="B32" s="1359"/>
      <c r="C32" s="1282"/>
      <c r="D32" s="1282"/>
      <c r="E32" s="1471"/>
      <c r="F32" s="1313" t="s">
        <v>1090</v>
      </c>
      <c r="G32" s="1314"/>
      <c r="H32" s="1314"/>
      <c r="I32" s="1314"/>
      <c r="J32" s="1314"/>
      <c r="K32" s="1314"/>
      <c r="L32" s="1314"/>
      <c r="M32" s="1314"/>
      <c r="N32" s="1315"/>
      <c r="O32" s="1282"/>
      <c r="P32" s="1270"/>
      <c r="Q32" s="456">
        <f>95328*60</f>
        <v>5719680</v>
      </c>
      <c r="R32" s="456"/>
      <c r="S32" s="1270"/>
      <c r="T32" s="1312"/>
      <c r="U32" s="334"/>
      <c r="V32" s="1308"/>
      <c r="W32" s="633">
        <f>Q32</f>
        <v>5719680</v>
      </c>
      <c r="X32" s="564">
        <f>W32</f>
        <v>5719680</v>
      </c>
      <c r="Y32" s="1270"/>
      <c r="Z32" s="1312"/>
      <c r="AA32" s="628"/>
      <c r="AB32" s="477"/>
      <c r="AC32" s="1270"/>
      <c r="AD32" s="1312"/>
      <c r="AE32" s="628"/>
      <c r="AF32" s="1473"/>
      <c r="AG32" s="1310"/>
      <c r="AH32" s="1276"/>
      <c r="AI32" s="1272"/>
      <c r="AJ32" s="1295"/>
      <c r="AK32" s="696">
        <f>X32*AK4/(AK4+AL4)</f>
        <v>4861728</v>
      </c>
      <c r="AL32" s="564">
        <f>X32*AL4/(AK4+AL4)</f>
        <v>857952</v>
      </c>
      <c r="AM32" s="477"/>
      <c r="AN32" s="477"/>
      <c r="AO32" s="328"/>
      <c r="AP32" s="477"/>
      <c r="AQ32" s="488"/>
      <c r="AR32" s="628"/>
      <c r="AS32" s="328"/>
      <c r="AT32" s="328"/>
      <c r="AU32" s="328"/>
      <c r="AV32" s="328"/>
      <c r="AW32" s="328"/>
      <c r="AX32" s="328"/>
      <c r="AY32" s="328"/>
      <c r="AZ32" s="328"/>
      <c r="BA32" s="328"/>
      <c r="BB32" s="328"/>
      <c r="BC32" s="328"/>
      <c r="BD32" s="328"/>
      <c r="BE32" s="583"/>
      <c r="BF32" s="598"/>
      <c r="BG32" s="328"/>
      <c r="BH32" s="817"/>
      <c r="BI32" s="1433"/>
      <c r="BJ32" s="823"/>
      <c r="BK32" s="1317"/>
      <c r="BL32" s="1317"/>
    </row>
    <row r="33" spans="1:64" ht="125.15" customHeight="1" x14ac:dyDescent="0.35">
      <c r="A33" s="1459">
        <v>10</v>
      </c>
      <c r="B33" s="1358" t="s">
        <v>1112</v>
      </c>
      <c r="C33" s="1281" t="s">
        <v>1113</v>
      </c>
      <c r="D33" s="1281" t="s">
        <v>1018</v>
      </c>
      <c r="E33" s="1470"/>
      <c r="F33" s="851"/>
      <c r="G33" s="826"/>
      <c r="H33" s="1082"/>
      <c r="I33" s="1082"/>
      <c r="J33" s="1082"/>
      <c r="K33" s="1082"/>
      <c r="L33" s="1095"/>
      <c r="M33" s="826"/>
      <c r="N33" s="828"/>
      <c r="O33" s="1281" t="s">
        <v>1060</v>
      </c>
      <c r="P33" s="1268" t="s">
        <v>1114</v>
      </c>
      <c r="Q33" s="324" t="s">
        <v>1115</v>
      </c>
      <c r="R33" s="324"/>
      <c r="S33" s="1268" t="s">
        <v>1116</v>
      </c>
      <c r="T33" s="1311" t="s">
        <v>1096</v>
      </c>
      <c r="U33" s="329"/>
      <c r="V33" s="1279"/>
      <c r="W33" s="632"/>
      <c r="X33" s="563" t="s">
        <v>1117</v>
      </c>
      <c r="Y33" s="1268" t="s">
        <v>1118</v>
      </c>
      <c r="Z33" s="1311" t="s">
        <v>1050</v>
      </c>
      <c r="AA33" s="632"/>
      <c r="AB33" s="563"/>
      <c r="AC33" s="1281" t="s">
        <v>1119</v>
      </c>
      <c r="AD33" s="1311"/>
      <c r="AE33" s="632"/>
      <c r="AF33" s="1472" t="s">
        <v>1120</v>
      </c>
      <c r="AG33" s="1309">
        <v>10</v>
      </c>
      <c r="AH33" s="1275">
        <v>10</v>
      </c>
      <c r="AI33" s="1271" t="s">
        <v>1112</v>
      </c>
      <c r="AJ33" s="1480" t="s">
        <v>1113</v>
      </c>
      <c r="AK33" s="618"/>
      <c r="AL33" s="1091"/>
      <c r="AM33" s="1478" t="s">
        <v>1121</v>
      </c>
      <c r="AN33" s="1479"/>
      <c r="AO33" s="493"/>
      <c r="AP33" s="643" t="s">
        <v>1122</v>
      </c>
      <c r="AQ33" s="643" t="s">
        <v>1123</v>
      </c>
      <c r="AR33" s="589" t="s">
        <v>1124</v>
      </c>
      <c r="AS33" s="569" t="s">
        <v>1124</v>
      </c>
      <c r="AT33" s="569" t="s">
        <v>1124</v>
      </c>
      <c r="AU33" s="569" t="s">
        <v>1124</v>
      </c>
      <c r="AV33" s="569" t="s">
        <v>1124</v>
      </c>
      <c r="AW33" s="569" t="s">
        <v>1124</v>
      </c>
      <c r="AX33" s="569" t="s">
        <v>1124</v>
      </c>
      <c r="AY33" s="569" t="s">
        <v>1124</v>
      </c>
      <c r="AZ33" s="569" t="s">
        <v>1124</v>
      </c>
      <c r="BA33" s="569" t="s">
        <v>1124</v>
      </c>
      <c r="BB33" s="569" t="s">
        <v>1124</v>
      </c>
      <c r="BC33" s="569" t="s">
        <v>1124</v>
      </c>
      <c r="BD33" s="569" t="s">
        <v>1124</v>
      </c>
      <c r="BE33" s="569" t="s">
        <v>1124</v>
      </c>
      <c r="BF33" s="589" t="s">
        <v>1124</v>
      </c>
      <c r="BG33" s="643" t="s">
        <v>1083</v>
      </c>
      <c r="BH33" s="733" t="s">
        <v>1125</v>
      </c>
      <c r="BI33" s="1432">
        <v>10</v>
      </c>
      <c r="BJ33" s="823"/>
      <c r="BK33" s="1316"/>
      <c r="BL33" s="1316"/>
    </row>
    <row r="34" spans="1:64" ht="125.15" customHeight="1" x14ac:dyDescent="0.35">
      <c r="A34" s="1460"/>
      <c r="B34" s="1359"/>
      <c r="C34" s="1282"/>
      <c r="D34" s="1282"/>
      <c r="E34" s="1471"/>
      <c r="F34" s="1313" t="s">
        <v>1053</v>
      </c>
      <c r="G34" s="1314"/>
      <c r="H34" s="1314"/>
      <c r="I34" s="1314"/>
      <c r="J34" s="1314"/>
      <c r="K34" s="1314"/>
      <c r="L34" s="1314"/>
      <c r="M34" s="1314"/>
      <c r="N34" s="1315"/>
      <c r="O34" s="1282"/>
      <c r="P34" s="1270"/>
      <c r="Q34" s="456">
        <f>(Indexation!J41*900)*2</f>
        <v>46887418.56287425</v>
      </c>
      <c r="R34" s="456">
        <v>50917856</v>
      </c>
      <c r="S34" s="1270"/>
      <c r="T34" s="1312"/>
      <c r="U34" s="328"/>
      <c r="V34" s="1308"/>
      <c r="W34" s="633">
        <f>Q34</f>
        <v>46887418.56287425</v>
      </c>
      <c r="X34" s="564">
        <f>SUM(AK34:BE34)</f>
        <v>43417749.589221545</v>
      </c>
      <c r="Y34" s="1270"/>
      <c r="Z34" s="1312"/>
      <c r="AA34" s="633">
        <f>W34-X34</f>
        <v>3469668.9736527056</v>
      </c>
      <c r="AB34" s="564">
        <f>BF34+BH34</f>
        <v>6710110.5676646698</v>
      </c>
      <c r="AC34" s="1282"/>
      <c r="AD34" s="1312"/>
      <c r="AE34" s="633">
        <v>0</v>
      </c>
      <c r="AF34" s="1473"/>
      <c r="AG34" s="1310"/>
      <c r="AH34" s="1276"/>
      <c r="AI34" s="1272"/>
      <c r="AJ34" s="1481"/>
      <c r="AK34" s="628"/>
      <c r="AL34" s="488"/>
      <c r="AM34" s="705">
        <f>Indexation!J41*(150*5)*AM4/(AM4+AN4)</f>
        <v>15162598.042720528</v>
      </c>
      <c r="AN34" s="705">
        <f>Indexation!J41*(150*5)*AN4/(AM4+AN4)</f>
        <v>4373826.3584770756</v>
      </c>
      <c r="AO34" s="477"/>
      <c r="AP34" s="705">
        <f>Indexation!J41*(150*5)*AP4/(AP4+AQ4)</f>
        <v>13024282.934131736</v>
      </c>
      <c r="AQ34" s="705">
        <f>Indexation!J41*(150*5)*AQ4/(AP4+AQ4)</f>
        <v>6512141.467065868</v>
      </c>
      <c r="AR34" s="599">
        <f>Indexation!J41*(0.2*AR$4)</f>
        <v>2865342.2455089819</v>
      </c>
      <c r="AS34" s="697">
        <f>Indexation!J41*(0.2*AS$4)</f>
        <v>364679.92215568858</v>
      </c>
      <c r="AT34" s="697">
        <f>Indexation!J41*(0.2*AT$4)</f>
        <v>156291.39520958083</v>
      </c>
      <c r="AU34" s="697">
        <f>Indexation!J41*(0.2*AU$4)</f>
        <v>182339.96107784429</v>
      </c>
      <c r="AV34" s="697">
        <f>Indexation!J41*(0.2*AV$4)</f>
        <v>182339.96107784429</v>
      </c>
      <c r="AW34" s="697">
        <f>Indexation!J41*(0.2*AW$4)</f>
        <v>104194.26347305388</v>
      </c>
      <c r="AX34" s="697">
        <f>Indexation!J41*(0.2*AX$4)</f>
        <v>83355.410778443111</v>
      </c>
      <c r="AY34" s="697">
        <f>Indexation!J41*(0.2*AY$4)</f>
        <v>78145.697604790417</v>
      </c>
      <c r="AZ34" s="697">
        <f>Indexation!J41*(0.2*AZ$4)</f>
        <v>67726.27125748503</v>
      </c>
      <c r="BA34" s="697">
        <f>Indexation!J41*(0.2*BA$4)</f>
        <v>52097.131736526942</v>
      </c>
      <c r="BB34" s="697">
        <f>Indexation!J41*(0.2*BB$4)</f>
        <v>52097.131736526942</v>
      </c>
      <c r="BC34" s="697">
        <f>Indexation!J41*(0.2*BC$4)</f>
        <v>52097.131736526942</v>
      </c>
      <c r="BD34" s="697">
        <f>Indexation!J41*(0.2*BD$4)</f>
        <v>52097.131736526942</v>
      </c>
      <c r="BE34" s="697">
        <f>Indexation!J41*(0.2*BE$4)</f>
        <v>52097.131736526942</v>
      </c>
      <c r="BF34" s="599">
        <f>Indexation!J41*(0.1*$BF$4)</f>
        <v>5522295.9640718559</v>
      </c>
      <c r="BG34" s="711"/>
      <c r="BH34" s="945">
        <f>(228*0.2)*Indexation!J41</f>
        <v>1187814.6035928144</v>
      </c>
      <c r="BI34" s="1433"/>
      <c r="BJ34" s="823"/>
      <c r="BK34" s="1317"/>
      <c r="BL34" s="1317"/>
    </row>
    <row r="35" spans="1:64" ht="125.15" customHeight="1" x14ac:dyDescent="0.35">
      <c r="A35" s="1459">
        <v>11</v>
      </c>
      <c r="B35" s="1358" t="s">
        <v>915</v>
      </c>
      <c r="C35" s="1281" t="s">
        <v>1126</v>
      </c>
      <c r="D35" s="1281" t="s">
        <v>1056</v>
      </c>
      <c r="E35" s="1470"/>
      <c r="F35" s="1081"/>
      <c r="G35" s="826"/>
      <c r="H35" s="826"/>
      <c r="I35" s="826"/>
      <c r="J35" s="827"/>
      <c r="K35" s="826"/>
      <c r="L35" s="826"/>
      <c r="M35" s="826"/>
      <c r="N35" s="828"/>
      <c r="O35" s="1281" t="s">
        <v>1060</v>
      </c>
      <c r="P35" s="1268" t="s">
        <v>1086</v>
      </c>
      <c r="Q35" s="330" t="s">
        <v>1127</v>
      </c>
      <c r="R35" s="330"/>
      <c r="S35" s="1268" t="s">
        <v>1128</v>
      </c>
      <c r="T35" s="1311" t="s">
        <v>1047</v>
      </c>
      <c r="U35" s="329"/>
      <c r="V35" s="1279"/>
      <c r="W35" s="632"/>
      <c r="X35" s="563" t="s">
        <v>1127</v>
      </c>
      <c r="Y35" s="1268" t="s">
        <v>1089</v>
      </c>
      <c r="Z35" s="1311" t="s">
        <v>1050</v>
      </c>
      <c r="AA35" s="618"/>
      <c r="AB35" s="493"/>
      <c r="AC35" s="1268"/>
      <c r="AD35" s="1311"/>
      <c r="AE35" s="618"/>
      <c r="AF35" s="1472"/>
      <c r="AG35" s="1309">
        <v>11</v>
      </c>
      <c r="AH35" s="1275">
        <v>11</v>
      </c>
      <c r="AI35" s="1271" t="s">
        <v>915</v>
      </c>
      <c r="AJ35" s="1293" t="s">
        <v>1126</v>
      </c>
      <c r="AK35" s="1093"/>
      <c r="AL35" s="493"/>
      <c r="AM35" s="1478" t="s">
        <v>1129</v>
      </c>
      <c r="AN35" s="1479"/>
      <c r="AO35" s="493"/>
      <c r="AP35" s="563"/>
      <c r="AQ35" s="698" t="s">
        <v>1129</v>
      </c>
      <c r="AR35" s="618"/>
      <c r="AS35" s="329"/>
      <c r="AT35" s="329"/>
      <c r="AU35" s="329"/>
      <c r="AV35" s="329"/>
      <c r="AW35" s="329"/>
      <c r="AX35" s="329"/>
      <c r="AY35" s="329"/>
      <c r="AZ35" s="329"/>
      <c r="BA35" s="329"/>
      <c r="BB35" s="329"/>
      <c r="BC35" s="329"/>
      <c r="BD35" s="329"/>
      <c r="BE35" s="489"/>
      <c r="BF35" s="618"/>
      <c r="BG35" s="329"/>
      <c r="BH35" s="815"/>
      <c r="BI35" s="1432">
        <v>11</v>
      </c>
      <c r="BJ35" s="823"/>
      <c r="BK35" s="1316"/>
      <c r="BL35" s="1316"/>
    </row>
    <row r="36" spans="1:64" ht="125.15" customHeight="1" x14ac:dyDescent="0.35">
      <c r="A36" s="1460"/>
      <c r="B36" s="1359"/>
      <c r="C36" s="1282"/>
      <c r="D36" s="1282"/>
      <c r="E36" s="1471"/>
      <c r="F36" s="1313" t="s">
        <v>1090</v>
      </c>
      <c r="G36" s="1314"/>
      <c r="H36" s="1314"/>
      <c r="I36" s="1314"/>
      <c r="J36" s="1314"/>
      <c r="K36" s="1314"/>
      <c r="L36" s="1314"/>
      <c r="M36" s="1314"/>
      <c r="N36" s="1315"/>
      <c r="O36" s="1282"/>
      <c r="P36" s="1270"/>
      <c r="Q36" s="456">
        <f>SUM(AK36:BE36)</f>
        <v>4740838.9880239516</v>
      </c>
      <c r="R36" s="456">
        <v>5148361</v>
      </c>
      <c r="S36" s="1270"/>
      <c r="T36" s="1312"/>
      <c r="U36" s="334"/>
      <c r="V36" s="1308"/>
      <c r="W36" s="633">
        <f>Q36</f>
        <v>4740838.9880239516</v>
      </c>
      <c r="X36" s="564">
        <f>SUM(AK36:BE36)</f>
        <v>4740838.9880239516</v>
      </c>
      <c r="Y36" s="1270"/>
      <c r="Z36" s="1312"/>
      <c r="AA36" s="628"/>
      <c r="AB36" s="328"/>
      <c r="AC36" s="1270"/>
      <c r="AD36" s="1312"/>
      <c r="AE36" s="628"/>
      <c r="AF36" s="1473"/>
      <c r="AG36" s="1310"/>
      <c r="AH36" s="1276"/>
      <c r="AI36" s="1272"/>
      <c r="AJ36" s="1295"/>
      <c r="AK36" s="1094"/>
      <c r="AL36" s="328"/>
      <c r="AM36" s="564">
        <f>Indexation!J45*(AM$4*0.007)</f>
        <v>1896335.5952095806</v>
      </c>
      <c r="AN36" s="564">
        <f>Indexation!J45*(AN$4*0.007)</f>
        <v>547019.88323353289</v>
      </c>
      <c r="AO36" s="328"/>
      <c r="AP36" s="564">
        <f>Indexation!J45*(AP$4*0.007)</f>
        <v>1531655.6730538923</v>
      </c>
      <c r="AQ36" s="697">
        <f>Indexation!J45*(AQ$4*0.007)</f>
        <v>765827.83652694616</v>
      </c>
      <c r="AR36" s="628"/>
      <c r="AS36" s="328"/>
      <c r="AT36" s="328"/>
      <c r="AU36" s="328"/>
      <c r="AV36" s="328"/>
      <c r="AW36" s="328"/>
      <c r="AX36" s="328"/>
      <c r="AY36" s="328"/>
      <c r="AZ36" s="328"/>
      <c r="BA36" s="328"/>
      <c r="BB36" s="328"/>
      <c r="BC36" s="328"/>
      <c r="BD36" s="328"/>
      <c r="BE36" s="583"/>
      <c r="BF36" s="598"/>
      <c r="BG36" s="328"/>
      <c r="BH36" s="817"/>
      <c r="BI36" s="1433"/>
      <c r="BJ36" s="823"/>
      <c r="BK36" s="1317"/>
      <c r="BL36" s="1317"/>
    </row>
    <row r="37" spans="1:64" ht="125.15" customHeight="1" x14ac:dyDescent="0.35">
      <c r="A37" s="1459">
        <v>12</v>
      </c>
      <c r="B37" s="1358" t="s">
        <v>1130</v>
      </c>
      <c r="C37" s="1281" t="s">
        <v>1131</v>
      </c>
      <c r="D37" s="1281" t="s">
        <v>1056</v>
      </c>
      <c r="E37" s="1470"/>
      <c r="F37" s="851"/>
      <c r="G37" s="826"/>
      <c r="H37" s="826"/>
      <c r="I37" s="826"/>
      <c r="J37" s="826"/>
      <c r="K37" s="826"/>
      <c r="L37" s="852"/>
      <c r="M37" s="826"/>
      <c r="N37" s="828"/>
      <c r="O37" s="1281" t="s">
        <v>1060</v>
      </c>
      <c r="P37" s="1268" t="s">
        <v>1132</v>
      </c>
      <c r="Q37" s="324"/>
      <c r="R37" s="324"/>
      <c r="S37" s="1268" t="s">
        <v>1133</v>
      </c>
      <c r="T37" s="1311" t="s">
        <v>2286</v>
      </c>
      <c r="U37" s="329"/>
      <c r="V37" s="1279"/>
      <c r="W37" s="632"/>
      <c r="X37" s="563"/>
      <c r="Y37" s="1268" t="s">
        <v>1134</v>
      </c>
      <c r="Z37" s="1311" t="s">
        <v>1135</v>
      </c>
      <c r="AA37" s="638"/>
      <c r="AB37" s="643"/>
      <c r="AC37" s="1268" t="s">
        <v>1136</v>
      </c>
      <c r="AD37" s="1311" t="s">
        <v>1135</v>
      </c>
      <c r="AE37" s="618"/>
      <c r="AF37" s="1472"/>
      <c r="AG37" s="1309">
        <v>12</v>
      </c>
      <c r="AH37" s="1275">
        <v>12</v>
      </c>
      <c r="AI37" s="1271" t="s">
        <v>1130</v>
      </c>
      <c r="AJ37" s="1293" t="s">
        <v>1131</v>
      </c>
      <c r="AK37" s="1091"/>
      <c r="AL37" s="1091"/>
      <c r="AM37" s="569" t="s">
        <v>1137</v>
      </c>
      <c r="AN37" s="569" t="s">
        <v>1137</v>
      </c>
      <c r="AO37" s="493"/>
      <c r="AP37" s="569" t="s">
        <v>1137</v>
      </c>
      <c r="AQ37" s="643" t="s">
        <v>1137</v>
      </c>
      <c r="AR37" s="589" t="s">
        <v>1137</v>
      </c>
      <c r="AS37" s="569" t="s">
        <v>1137</v>
      </c>
      <c r="AT37" s="569" t="s">
        <v>1137</v>
      </c>
      <c r="AU37" s="569" t="s">
        <v>1137</v>
      </c>
      <c r="AV37" s="569" t="s">
        <v>1137</v>
      </c>
      <c r="AW37" s="569" t="s">
        <v>1137</v>
      </c>
      <c r="AX37" s="727" t="s">
        <v>1036</v>
      </c>
      <c r="AY37" s="727" t="s">
        <v>1036</v>
      </c>
      <c r="AZ37" s="727" t="s">
        <v>1036</v>
      </c>
      <c r="BA37" s="727" t="s">
        <v>1036</v>
      </c>
      <c r="BB37" s="727" t="s">
        <v>1036</v>
      </c>
      <c r="BC37" s="727" t="s">
        <v>1036</v>
      </c>
      <c r="BD37" s="727" t="s">
        <v>1036</v>
      </c>
      <c r="BE37" s="727" t="s">
        <v>1036</v>
      </c>
      <c r="BF37" s="834" t="s">
        <v>1083</v>
      </c>
      <c r="BG37" s="643" t="s">
        <v>1083</v>
      </c>
      <c r="BH37" s="815"/>
      <c r="BI37" s="1432">
        <v>12</v>
      </c>
      <c r="BJ37" s="823"/>
      <c r="BK37" s="1316"/>
      <c r="BL37" s="1316"/>
    </row>
    <row r="38" spans="1:64" ht="125.15" customHeight="1" x14ac:dyDescent="0.35">
      <c r="A38" s="1460"/>
      <c r="B38" s="1359"/>
      <c r="C38" s="1282"/>
      <c r="D38" s="1282"/>
      <c r="E38" s="1471"/>
      <c r="F38" s="1313" t="s">
        <v>1053</v>
      </c>
      <c r="G38" s="1314"/>
      <c r="H38" s="1314"/>
      <c r="I38" s="1314"/>
      <c r="J38" s="1314"/>
      <c r="K38" s="1314"/>
      <c r="L38" s="1314"/>
      <c r="M38" s="1314"/>
      <c r="N38" s="1315"/>
      <c r="O38" s="1282"/>
      <c r="P38" s="1270"/>
      <c r="Q38" s="456">
        <f>SUM(AK38:BH38)</f>
        <v>7955383.9999999991</v>
      </c>
      <c r="R38" s="456">
        <v>9649920</v>
      </c>
      <c r="S38" s="1270"/>
      <c r="T38" s="1312"/>
      <c r="U38" s="328"/>
      <c r="V38" s="1308"/>
      <c r="W38" s="633">
        <f>Q38</f>
        <v>7955383.9999999991</v>
      </c>
      <c r="X38" s="564">
        <f>SUM(AK38:BE38)</f>
        <v>6939395.1999999993</v>
      </c>
      <c r="Y38" s="1270"/>
      <c r="Z38" s="1312"/>
      <c r="AA38" s="637">
        <f>W38-X38</f>
        <v>1015988.7999999998</v>
      </c>
      <c r="AB38" s="697">
        <f>SUM(BF38:BG38)</f>
        <v>1015988.7999999999</v>
      </c>
      <c r="AC38" s="1270"/>
      <c r="AD38" s="1312"/>
      <c r="AE38" s="628"/>
      <c r="AF38" s="1473"/>
      <c r="AG38" s="1310"/>
      <c r="AH38" s="1276"/>
      <c r="AI38" s="1272"/>
      <c r="AJ38" s="1295"/>
      <c r="AK38" s="641"/>
      <c r="AL38" s="488"/>
      <c r="AM38" s="705">
        <f>23962*(AM$4*0.04)</f>
        <v>2492048</v>
      </c>
      <c r="AN38" s="705">
        <f>23962*(AN$4*0.04)</f>
        <v>718860</v>
      </c>
      <c r="AO38" s="477"/>
      <c r="AP38" s="705">
        <f t="shared" ref="AP38:AW38" si="0">23962*(AP$4*0.04)</f>
        <v>2012808</v>
      </c>
      <c r="AQ38" s="705">
        <f t="shared" si="0"/>
        <v>1006404</v>
      </c>
      <c r="AR38" s="706">
        <f t="shared" si="0"/>
        <v>527164</v>
      </c>
      <c r="AS38" s="705">
        <f t="shared" si="0"/>
        <v>67093.600000000006</v>
      </c>
      <c r="AT38" s="705">
        <f t="shared" si="0"/>
        <v>28754.399999999998</v>
      </c>
      <c r="AU38" s="705">
        <f t="shared" si="0"/>
        <v>33546.800000000003</v>
      </c>
      <c r="AV38" s="705">
        <f t="shared" si="0"/>
        <v>33546.800000000003</v>
      </c>
      <c r="AW38" s="705">
        <f t="shared" si="0"/>
        <v>19169.600000000002</v>
      </c>
      <c r="AX38" s="663"/>
      <c r="AY38" s="663"/>
      <c r="AZ38" s="663"/>
      <c r="BA38" s="663"/>
      <c r="BB38" s="663"/>
      <c r="BC38" s="663"/>
      <c r="BD38" s="663"/>
      <c r="BE38" s="711"/>
      <c r="BF38" s="706">
        <f>23962*(BF$4*0.02)</f>
        <v>1015988.7999999999</v>
      </c>
      <c r="BG38" s="711"/>
      <c r="BH38" s="1090"/>
      <c r="BI38" s="1433"/>
      <c r="BJ38" s="823"/>
      <c r="BK38" s="1317"/>
      <c r="BL38" s="1317"/>
    </row>
    <row r="39" spans="1:64" ht="125.15" customHeight="1" x14ac:dyDescent="0.35">
      <c r="A39" s="1459">
        <v>13</v>
      </c>
      <c r="B39" s="1358" t="s">
        <v>1138</v>
      </c>
      <c r="C39" s="1281" t="s">
        <v>1139</v>
      </c>
      <c r="D39" s="1281" t="s">
        <v>1056</v>
      </c>
      <c r="E39" s="1470"/>
      <c r="F39" s="851"/>
      <c r="G39" s="826"/>
      <c r="H39" s="826"/>
      <c r="I39" s="826"/>
      <c r="J39" s="826"/>
      <c r="K39" s="826"/>
      <c r="L39" s="852"/>
      <c r="M39" s="826"/>
      <c r="N39" s="828"/>
      <c r="O39" s="1281" t="s">
        <v>1060</v>
      </c>
      <c r="P39" s="1268" t="s">
        <v>1140</v>
      </c>
      <c r="Q39" s="324"/>
      <c r="R39" s="324"/>
      <c r="S39" s="1268" t="s">
        <v>1141</v>
      </c>
      <c r="T39" s="1311" t="s">
        <v>2287</v>
      </c>
      <c r="U39" s="329"/>
      <c r="V39" s="1279"/>
      <c r="W39" s="632"/>
      <c r="X39" s="563"/>
      <c r="Y39" s="1268" t="s">
        <v>1142</v>
      </c>
      <c r="Z39" s="1311" t="s">
        <v>1143</v>
      </c>
      <c r="AA39" s="618"/>
      <c r="AB39" s="643" t="s">
        <v>1144</v>
      </c>
      <c r="AC39" s="1268"/>
      <c r="AD39" s="1311" t="s">
        <v>1143</v>
      </c>
      <c r="AE39" s="618"/>
      <c r="AF39" s="1472"/>
      <c r="AG39" s="1309">
        <v>13</v>
      </c>
      <c r="AH39" s="1275">
        <v>13</v>
      </c>
      <c r="AI39" s="1271" t="s">
        <v>1138</v>
      </c>
      <c r="AJ39" s="1293" t="s">
        <v>1139</v>
      </c>
      <c r="AK39" s="1091"/>
      <c r="AL39" s="1091"/>
      <c r="AM39" s="569" t="s">
        <v>1145</v>
      </c>
      <c r="AN39" s="569" t="s">
        <v>1145</v>
      </c>
      <c r="AO39" s="493"/>
      <c r="AP39" s="643" t="s">
        <v>1146</v>
      </c>
      <c r="AQ39" s="643" t="s">
        <v>1147</v>
      </c>
      <c r="AR39" s="589" t="s">
        <v>1148</v>
      </c>
      <c r="AS39" s="569" t="s">
        <v>1148</v>
      </c>
      <c r="AT39" s="569" t="s">
        <v>1148</v>
      </c>
      <c r="AU39" s="569" t="s">
        <v>1148</v>
      </c>
      <c r="AV39" s="569" t="s">
        <v>1148</v>
      </c>
      <c r="AW39" s="569" t="s">
        <v>1148</v>
      </c>
      <c r="AX39" s="569" t="s">
        <v>1148</v>
      </c>
      <c r="AY39" s="569" t="s">
        <v>1148</v>
      </c>
      <c r="AZ39" s="569" t="s">
        <v>1148</v>
      </c>
      <c r="BA39" s="569" t="s">
        <v>1148</v>
      </c>
      <c r="BB39" s="569" t="s">
        <v>1148</v>
      </c>
      <c r="BC39" s="569" t="s">
        <v>1148</v>
      </c>
      <c r="BD39" s="569" t="s">
        <v>1148</v>
      </c>
      <c r="BE39" s="643" t="s">
        <v>1148</v>
      </c>
      <c r="BF39" s="589" t="s">
        <v>1148</v>
      </c>
      <c r="BG39" s="569" t="s">
        <v>1148</v>
      </c>
      <c r="BH39" s="815"/>
      <c r="BI39" s="1432">
        <v>13</v>
      </c>
      <c r="BJ39" s="823"/>
      <c r="BK39" s="1316"/>
      <c r="BL39" s="1316"/>
    </row>
    <row r="40" spans="1:64" ht="125.15" customHeight="1" x14ac:dyDescent="0.35">
      <c r="A40" s="1460"/>
      <c r="B40" s="1359"/>
      <c r="C40" s="1282"/>
      <c r="D40" s="1282"/>
      <c r="E40" s="1471"/>
      <c r="F40" s="1313" t="s">
        <v>1053</v>
      </c>
      <c r="G40" s="1314"/>
      <c r="H40" s="1314"/>
      <c r="I40" s="1314"/>
      <c r="J40" s="1314"/>
      <c r="K40" s="1314"/>
      <c r="L40" s="1314"/>
      <c r="M40" s="1314"/>
      <c r="N40" s="1315"/>
      <c r="O40" s="1282"/>
      <c r="P40" s="1270"/>
      <c r="Q40" s="456">
        <f>SUM(AK40:BE40)</f>
        <v>3617093.6849410129</v>
      </c>
      <c r="R40" s="456">
        <v>4047528</v>
      </c>
      <c r="S40" s="1270"/>
      <c r="T40" s="1312"/>
      <c r="U40" s="328"/>
      <c r="V40" s="1308"/>
      <c r="W40" s="633">
        <f>Q40</f>
        <v>3617093.6849410129</v>
      </c>
      <c r="X40" s="564"/>
      <c r="Y40" s="1270"/>
      <c r="Z40" s="1312"/>
      <c r="AA40" s="628"/>
      <c r="AB40" s="644"/>
      <c r="AC40" s="1270"/>
      <c r="AD40" s="1312"/>
      <c r="AE40" s="628"/>
      <c r="AF40" s="1473"/>
      <c r="AG40" s="1310"/>
      <c r="AH40" s="1276"/>
      <c r="AI40" s="1272"/>
      <c r="AJ40" s="1295"/>
      <c r="AK40" s="641"/>
      <c r="AL40" s="488"/>
      <c r="AM40" s="705">
        <f>(((Indexation!J42*(0.2*AM29))*190)*5)*0.25</f>
        <v>734722.15475364332</v>
      </c>
      <c r="AN40" s="705">
        <f>(((Indexation!J42*(0.2*AN29))*190)*5)*0.25</f>
        <v>211939.08310201249</v>
      </c>
      <c r="AO40" s="477"/>
      <c r="AP40" s="705">
        <f>((Indexation!J42*(0.2*AP29))*190)*5</f>
        <v>2373717.7307425397</v>
      </c>
      <c r="AQ40" s="705">
        <f>(((Indexation!J42*(0.2*AQ29))*190)*5)*0.25</f>
        <v>296714.71634281747</v>
      </c>
      <c r="AR40" s="707"/>
      <c r="AS40" s="644"/>
      <c r="AT40" s="644"/>
      <c r="AU40" s="644"/>
      <c r="AV40" s="644"/>
      <c r="AW40" s="644"/>
      <c r="AX40" s="644"/>
      <c r="AY40" s="644"/>
      <c r="AZ40" s="644"/>
      <c r="BA40" s="644"/>
      <c r="BB40" s="644"/>
      <c r="BC40" s="644"/>
      <c r="BD40" s="644"/>
      <c r="BE40" s="644"/>
      <c r="BF40" s="707"/>
      <c r="BG40" s="644"/>
      <c r="BH40" s="1090"/>
      <c r="BI40" s="1433"/>
      <c r="BJ40" s="823"/>
      <c r="BK40" s="1317"/>
      <c r="BL40" s="1317"/>
    </row>
    <row r="41" spans="1:64" ht="17.25" customHeight="1" x14ac:dyDescent="0.35">
      <c r="A41" s="821"/>
      <c r="B41" s="795"/>
      <c r="C41" s="302" t="s">
        <v>1149</v>
      </c>
      <c r="D41" s="302"/>
      <c r="E41" s="303"/>
      <c r="F41" s="303"/>
      <c r="G41" s="303"/>
      <c r="H41" s="303"/>
      <c r="I41" s="303"/>
      <c r="J41" s="303"/>
      <c r="K41" s="303"/>
      <c r="L41" s="303"/>
      <c r="M41" s="303"/>
      <c r="N41" s="307"/>
      <c r="O41" s="303"/>
      <c r="P41" s="302"/>
      <c r="Q41" s="305"/>
      <c r="R41" s="305"/>
      <c r="S41" s="306"/>
      <c r="T41" s="560"/>
      <c r="U41" s="305"/>
      <c r="V41" s="506"/>
      <c r="W41" s="584"/>
      <c r="X41" s="305"/>
      <c r="Y41" s="307"/>
      <c r="Z41" s="560"/>
      <c r="AA41" s="584"/>
      <c r="AB41" s="305"/>
      <c r="AC41" s="307"/>
      <c r="AD41" s="560"/>
      <c r="AE41" s="584"/>
      <c r="AF41" s="1075"/>
      <c r="AG41" s="821"/>
      <c r="AH41" s="821"/>
      <c r="AI41" s="800"/>
      <c r="AJ41" s="570" t="s">
        <v>1149</v>
      </c>
      <c r="AK41" s="802"/>
      <c r="AL41" s="803"/>
      <c r="AM41" s="804"/>
      <c r="AN41" s="803"/>
      <c r="AO41" s="803"/>
      <c r="AP41" s="803"/>
      <c r="AQ41" s="804"/>
      <c r="AR41" s="805"/>
      <c r="AS41" s="803"/>
      <c r="AT41" s="803"/>
      <c r="AU41" s="803"/>
      <c r="AV41" s="803"/>
      <c r="AW41" s="803"/>
      <c r="AX41" s="803"/>
      <c r="AY41" s="803"/>
      <c r="AZ41" s="803"/>
      <c r="BA41" s="803"/>
      <c r="BB41" s="803"/>
      <c r="BC41" s="803"/>
      <c r="BD41" s="803"/>
      <c r="BE41" s="804"/>
      <c r="BF41" s="805"/>
      <c r="BG41" s="302"/>
      <c r="BH41" s="570"/>
      <c r="BI41" s="821"/>
      <c r="BJ41" s="823"/>
      <c r="BK41" s="807"/>
      <c r="BL41" s="807"/>
    </row>
    <row r="42" spans="1:64" ht="125.15" customHeight="1" x14ac:dyDescent="0.35">
      <c r="A42" s="1459">
        <v>14</v>
      </c>
      <c r="B42" s="1358" t="s">
        <v>927</v>
      </c>
      <c r="C42" s="1281" t="s">
        <v>1150</v>
      </c>
      <c r="D42" s="1281" t="s">
        <v>1151</v>
      </c>
      <c r="E42" s="1470"/>
      <c r="F42" s="1081"/>
      <c r="G42" s="826"/>
      <c r="H42" s="826"/>
      <c r="I42" s="826"/>
      <c r="J42" s="827"/>
      <c r="K42" s="826"/>
      <c r="L42" s="826"/>
      <c r="M42" s="826"/>
      <c r="N42" s="828"/>
      <c r="O42" s="1281" t="s">
        <v>632</v>
      </c>
      <c r="P42" s="1281"/>
      <c r="Q42" s="329"/>
      <c r="R42" s="329"/>
      <c r="S42" s="1268"/>
      <c r="T42" s="1311"/>
      <c r="U42" s="329"/>
      <c r="V42" s="1279"/>
      <c r="W42" s="618"/>
      <c r="X42" s="329"/>
      <c r="Y42" s="1268"/>
      <c r="Z42" s="1311"/>
      <c r="AA42" s="618"/>
      <c r="AB42" s="600" t="s">
        <v>1152</v>
      </c>
      <c r="AC42" s="1268"/>
      <c r="AD42" s="1311"/>
      <c r="AE42" s="618"/>
      <c r="AF42" s="1472"/>
      <c r="AG42" s="1309">
        <v>14</v>
      </c>
      <c r="AH42" s="1275">
        <v>14</v>
      </c>
      <c r="AI42" s="1271" t="s">
        <v>927</v>
      </c>
      <c r="AJ42" s="1293" t="s">
        <v>1153</v>
      </c>
      <c r="AK42" s="600" t="s">
        <v>1152</v>
      </c>
      <c r="AL42" s="600" t="s">
        <v>1152</v>
      </c>
      <c r="AM42" s="600" t="s">
        <v>1152</v>
      </c>
      <c r="AN42" s="600" t="s">
        <v>1152</v>
      </c>
      <c r="AO42" s="600" t="s">
        <v>1152</v>
      </c>
      <c r="AP42" s="600" t="s">
        <v>1152</v>
      </c>
      <c r="AQ42" s="695" t="s">
        <v>1152</v>
      </c>
      <c r="AR42" s="589" t="s">
        <v>1152</v>
      </c>
      <c r="AS42" s="600" t="s">
        <v>1152</v>
      </c>
      <c r="AT42" s="600" t="s">
        <v>1152</v>
      </c>
      <c r="AU42" s="600" t="s">
        <v>1152</v>
      </c>
      <c r="AV42" s="600" t="s">
        <v>1152</v>
      </c>
      <c r="AW42" s="600" t="s">
        <v>1152</v>
      </c>
      <c r="AX42" s="600" t="s">
        <v>1152</v>
      </c>
      <c r="AY42" s="600" t="s">
        <v>1152</v>
      </c>
      <c r="AZ42" s="600" t="s">
        <v>1152</v>
      </c>
      <c r="BA42" s="600" t="s">
        <v>1152</v>
      </c>
      <c r="BB42" s="600" t="s">
        <v>1152</v>
      </c>
      <c r="BC42" s="600" t="s">
        <v>1152</v>
      </c>
      <c r="BD42" s="600" t="s">
        <v>1152</v>
      </c>
      <c r="BE42" s="695" t="s">
        <v>1152</v>
      </c>
      <c r="BF42" s="589" t="s">
        <v>1152</v>
      </c>
      <c r="BG42" s="600" t="s">
        <v>1152</v>
      </c>
      <c r="BH42" s="815"/>
      <c r="BI42" s="1432">
        <v>14</v>
      </c>
      <c r="BJ42" s="823"/>
      <c r="BK42" s="1316"/>
      <c r="BL42" s="1316"/>
    </row>
    <row r="43" spans="1:64" ht="125.15" customHeight="1" thickBot="1" x14ac:dyDescent="0.4">
      <c r="A43" s="1460"/>
      <c r="B43" s="1362"/>
      <c r="C43" s="1302"/>
      <c r="D43" s="1302"/>
      <c r="E43" s="1485"/>
      <c r="F43" s="1355" t="s">
        <v>1154</v>
      </c>
      <c r="G43" s="1356"/>
      <c r="H43" s="1356"/>
      <c r="I43" s="1356"/>
      <c r="J43" s="1356"/>
      <c r="K43" s="1356"/>
      <c r="L43" s="1356"/>
      <c r="M43" s="1356"/>
      <c r="N43" s="1357"/>
      <c r="O43" s="1302"/>
      <c r="P43" s="1302"/>
      <c r="Q43" s="331"/>
      <c r="R43" s="331"/>
      <c r="S43" s="1269"/>
      <c r="T43" s="1334"/>
      <c r="U43" s="679"/>
      <c r="V43" s="1280"/>
      <c r="W43" s="610"/>
      <c r="X43" s="331"/>
      <c r="Y43" s="1269"/>
      <c r="Z43" s="1334"/>
      <c r="AA43" s="610"/>
      <c r="AB43" s="724"/>
      <c r="AC43" s="1269"/>
      <c r="AD43" s="1334"/>
      <c r="AE43" s="610"/>
      <c r="AF43" s="1484"/>
      <c r="AG43" s="1310"/>
      <c r="AH43" s="1276"/>
      <c r="AI43" s="1296"/>
      <c r="AJ43" s="1294"/>
      <c r="AK43" s="724"/>
      <c r="AL43" s="724"/>
      <c r="AM43" s="724"/>
      <c r="AN43" s="724"/>
      <c r="AO43" s="724"/>
      <c r="AP43" s="724"/>
      <c r="AQ43" s="1107"/>
      <c r="AR43" s="608"/>
      <c r="AS43" s="724"/>
      <c r="AT43" s="724"/>
      <c r="AU43" s="724"/>
      <c r="AV43" s="724"/>
      <c r="AW43" s="724"/>
      <c r="AX43" s="724"/>
      <c r="AY43" s="724"/>
      <c r="AZ43" s="724"/>
      <c r="BA43" s="724"/>
      <c r="BB43" s="724"/>
      <c r="BC43" s="724"/>
      <c r="BD43" s="724"/>
      <c r="BE43" s="1107"/>
      <c r="BF43" s="608"/>
      <c r="BG43" s="724"/>
      <c r="BH43" s="1098"/>
      <c r="BI43" s="1433"/>
      <c r="BJ43" s="823"/>
      <c r="BK43" s="1317"/>
      <c r="BL43" s="1317"/>
    </row>
    <row r="44" spans="1:64" ht="99.9" customHeight="1" thickTop="1" x14ac:dyDescent="0.35">
      <c r="B44" s="1368"/>
      <c r="C44" s="1370" t="s">
        <v>1012</v>
      </c>
      <c r="D44" s="1347"/>
      <c r="E44" s="1347"/>
      <c r="F44" s="1347"/>
      <c r="G44" s="1347"/>
      <c r="H44" s="1347"/>
      <c r="I44" s="1347"/>
      <c r="J44" s="1347"/>
      <c r="K44" s="1347"/>
      <c r="L44" s="1347"/>
      <c r="M44" s="1347"/>
      <c r="N44" s="1347"/>
      <c r="O44" s="1347"/>
      <c r="P44" s="1347"/>
      <c r="Q44" s="1349" t="s">
        <v>1</v>
      </c>
      <c r="R44" s="1446" t="s">
        <v>2193</v>
      </c>
      <c r="S44" s="1337"/>
      <c r="T44" s="1337"/>
      <c r="U44" s="1351" t="s">
        <v>2</v>
      </c>
      <c r="V44" s="1337"/>
      <c r="W44" s="1341" t="s">
        <v>856</v>
      </c>
      <c r="X44" s="1488" t="s">
        <v>503</v>
      </c>
      <c r="Y44" s="1329"/>
      <c r="Z44" s="1337"/>
      <c r="AA44" s="1341" t="s">
        <v>506</v>
      </c>
      <c r="AB44" s="1291" t="s">
        <v>1011</v>
      </c>
      <c r="AC44" s="1335"/>
      <c r="AD44" s="1337"/>
      <c r="AE44" s="1341" t="s">
        <v>508</v>
      </c>
      <c r="AF44" s="1486"/>
      <c r="AG44" s="813"/>
      <c r="AH44" s="814"/>
      <c r="AI44" s="1332"/>
      <c r="AJ44" s="1304" t="s">
        <v>1012</v>
      </c>
      <c r="AK44" s="979" t="s">
        <v>2234</v>
      </c>
      <c r="AL44" s="977" t="s">
        <v>2235</v>
      </c>
      <c r="AM44" s="977" t="s">
        <v>2236</v>
      </c>
      <c r="AN44" s="977" t="s">
        <v>2237</v>
      </c>
      <c r="AO44" s="977" t="s">
        <v>2238</v>
      </c>
      <c r="AP44" s="977" t="s">
        <v>2239</v>
      </c>
      <c r="AQ44" s="1108" t="s">
        <v>2240</v>
      </c>
      <c r="AR44" s="979" t="s">
        <v>2241</v>
      </c>
      <c r="AS44" s="977" t="s">
        <v>2242</v>
      </c>
      <c r="AT44" s="977" t="s">
        <v>2243</v>
      </c>
      <c r="AU44" s="977" t="s">
        <v>2244</v>
      </c>
      <c r="AV44" s="977" t="s">
        <v>2245</v>
      </c>
      <c r="AW44" s="977" t="s">
        <v>2246</v>
      </c>
      <c r="AX44" s="977" t="s">
        <v>2247</v>
      </c>
      <c r="AY44" s="977" t="s">
        <v>2248</v>
      </c>
      <c r="AZ44" s="977" t="s">
        <v>2249</v>
      </c>
      <c r="BA44" s="977" t="s">
        <v>2250</v>
      </c>
      <c r="BB44" s="977" t="s">
        <v>2251</v>
      </c>
      <c r="BC44" s="977" t="s">
        <v>2252</v>
      </c>
      <c r="BD44" s="977" t="s">
        <v>2253</v>
      </c>
      <c r="BE44" s="1108" t="s">
        <v>2254</v>
      </c>
      <c r="BF44" s="979" t="s">
        <v>2255</v>
      </c>
      <c r="BG44" s="1343" t="s">
        <v>41</v>
      </c>
      <c r="BH44" s="1345" t="s">
        <v>42</v>
      </c>
      <c r="BI44" s="868"/>
      <c r="BJ44" s="823"/>
      <c r="BK44" s="1316"/>
      <c r="BL44" s="1316"/>
    </row>
    <row r="45" spans="1:64" s="793" customFormat="1" ht="50.15" customHeight="1" x14ac:dyDescent="0.35">
      <c r="A45" s="880"/>
      <c r="B45" s="1369"/>
      <c r="C45" s="1371"/>
      <c r="D45" s="1348"/>
      <c r="E45" s="1348"/>
      <c r="F45" s="454"/>
      <c r="G45" s="454"/>
      <c r="H45" s="454"/>
      <c r="I45" s="454"/>
      <c r="J45" s="454"/>
      <c r="K45" s="454"/>
      <c r="L45" s="454"/>
      <c r="M45" s="454"/>
      <c r="N45" s="454"/>
      <c r="O45" s="1348"/>
      <c r="P45" s="1348"/>
      <c r="Q45" s="1350"/>
      <c r="R45" s="1447"/>
      <c r="S45" s="1338"/>
      <c r="T45" s="1338"/>
      <c r="U45" s="1352"/>
      <c r="V45" s="1338"/>
      <c r="W45" s="1342"/>
      <c r="X45" s="1489"/>
      <c r="Y45" s="1330"/>
      <c r="Z45" s="1338"/>
      <c r="AA45" s="1342"/>
      <c r="AB45" s="1292"/>
      <c r="AC45" s="1336"/>
      <c r="AD45" s="1338"/>
      <c r="AE45" s="1342"/>
      <c r="AF45" s="1487"/>
      <c r="AG45" s="781"/>
      <c r="AH45" s="782"/>
      <c r="AI45" s="1333"/>
      <c r="AJ45" s="1305"/>
      <c r="AK45" s="987">
        <v>8500</v>
      </c>
      <c r="AL45" s="982">
        <v>1500</v>
      </c>
      <c r="AM45" s="982">
        <v>2600</v>
      </c>
      <c r="AN45" s="983">
        <v>750</v>
      </c>
      <c r="AO45" s="983" t="s">
        <v>48</v>
      </c>
      <c r="AP45" s="982">
        <v>2100</v>
      </c>
      <c r="AQ45" s="1109">
        <v>1050</v>
      </c>
      <c r="AR45" s="985">
        <v>550</v>
      </c>
      <c r="AS45" s="983">
        <v>70</v>
      </c>
      <c r="AT45" s="983">
        <v>30</v>
      </c>
      <c r="AU45" s="983">
        <v>35</v>
      </c>
      <c r="AV45" s="983">
        <v>35</v>
      </c>
      <c r="AW45" s="983">
        <v>20</v>
      </c>
      <c r="AX45" s="983">
        <v>16</v>
      </c>
      <c r="AY45" s="983">
        <v>15</v>
      </c>
      <c r="AZ45" s="983">
        <v>13</v>
      </c>
      <c r="BA45" s="983">
        <v>10</v>
      </c>
      <c r="BB45" s="983">
        <v>10</v>
      </c>
      <c r="BC45" s="983">
        <v>10</v>
      </c>
      <c r="BD45" s="983">
        <v>10</v>
      </c>
      <c r="BE45" s="1110">
        <v>10</v>
      </c>
      <c r="BF45" s="987">
        <v>2120</v>
      </c>
      <c r="BG45" s="1344"/>
      <c r="BH45" s="1346"/>
      <c r="BI45" s="1074"/>
      <c r="BJ45" s="823"/>
      <c r="BK45" s="1317"/>
      <c r="BL45" s="1317"/>
    </row>
    <row r="46" spans="1:64" ht="17.25" customHeight="1" thickBot="1" x14ac:dyDescent="0.4">
      <c r="A46" s="881"/>
      <c r="B46" s="988"/>
      <c r="C46" s="573"/>
      <c r="D46" s="573"/>
      <c r="E46" s="989" t="s">
        <v>857</v>
      </c>
      <c r="F46" s="574"/>
      <c r="G46" s="574"/>
      <c r="H46" s="574"/>
      <c r="I46" s="574"/>
      <c r="J46" s="574"/>
      <c r="K46" s="574"/>
      <c r="L46" s="574"/>
      <c r="M46" s="574"/>
      <c r="N46" s="578"/>
      <c r="O46" s="574"/>
      <c r="P46" s="573"/>
      <c r="Q46" s="590"/>
      <c r="R46" s="595"/>
      <c r="S46" s="592"/>
      <c r="T46" s="576"/>
      <c r="U46" s="590"/>
      <c r="V46" s="595"/>
      <c r="W46" s="596"/>
      <c r="X46" s="593"/>
      <c r="Y46" s="631"/>
      <c r="Z46" s="576"/>
      <c r="AA46" s="596"/>
      <c r="AB46" s="640"/>
      <c r="AC46" s="620"/>
      <c r="AD46" s="576"/>
      <c r="AE46" s="596"/>
      <c r="AF46" s="1111"/>
      <c r="AG46" s="798"/>
      <c r="AH46" s="770"/>
      <c r="AI46" s="991"/>
      <c r="AJ46" s="992" t="s">
        <v>857</v>
      </c>
      <c r="AK46" s="996"/>
      <c r="AL46" s="994"/>
      <c r="AM46" s="994"/>
      <c r="AN46" s="994"/>
      <c r="AO46" s="994"/>
      <c r="AP46" s="994"/>
      <c r="AQ46" s="1112"/>
      <c r="AR46" s="996"/>
      <c r="AS46" s="994"/>
      <c r="AT46" s="994"/>
      <c r="AU46" s="994"/>
      <c r="AV46" s="994"/>
      <c r="AW46" s="994"/>
      <c r="AX46" s="994"/>
      <c r="AY46" s="994"/>
      <c r="AZ46" s="994"/>
      <c r="BA46" s="994"/>
      <c r="BB46" s="994"/>
      <c r="BC46" s="994"/>
      <c r="BD46" s="994"/>
      <c r="BE46" s="1112"/>
      <c r="BF46" s="996"/>
      <c r="BG46" s="997"/>
      <c r="BH46" s="998"/>
      <c r="BJ46" s="823"/>
      <c r="BK46" s="807"/>
      <c r="BL46" s="807"/>
    </row>
    <row r="47" spans="1:64" s="1012" customFormat="1" ht="19" thickTop="1" x14ac:dyDescent="0.35">
      <c r="A47" s="821">
        <v>15</v>
      </c>
      <c r="B47" s="1000"/>
      <c r="C47" s="1000"/>
      <c r="D47" s="1000"/>
      <c r="E47" s="1001" t="s">
        <v>2202</v>
      </c>
      <c r="F47" s="1002"/>
      <c r="G47" s="1002"/>
      <c r="H47" s="1002"/>
      <c r="I47" s="1002"/>
      <c r="J47" s="1002"/>
      <c r="K47" s="1002"/>
      <c r="L47" s="1002"/>
      <c r="M47" s="1002"/>
      <c r="N47" s="1002"/>
      <c r="O47" s="1003"/>
      <c r="P47" s="1002"/>
      <c r="Q47" s="1004">
        <f>Q7+Q10+Q13+Q15+Q17+Q19+Q22+Q24+Q32+Q34+Q36+Q38+Q40+Q43</f>
        <v>402111538.23666936</v>
      </c>
      <c r="R47" s="1004">
        <f>R10+Q13+R15+R17+R19+Q22+Q24+Q32+R34+R36+R38+R40</f>
        <v>418096396</v>
      </c>
      <c r="S47" s="1005"/>
      <c r="T47" s="1005"/>
      <c r="U47" s="1006"/>
      <c r="V47" s="1005"/>
      <c r="W47" s="1009"/>
      <c r="X47" s="1006"/>
      <c r="Y47" s="1008"/>
      <c r="Z47" s="1005"/>
      <c r="AA47" s="1009"/>
      <c r="AB47" s="1007"/>
      <c r="AC47" s="1010"/>
      <c r="AD47" s="1005"/>
      <c r="AE47" s="1009"/>
      <c r="AF47" s="1011"/>
      <c r="AG47" s="821">
        <v>15</v>
      </c>
      <c r="AH47" s="758"/>
      <c r="AI47" s="1011"/>
      <c r="AJ47" s="1011"/>
      <c r="AK47" s="1006"/>
      <c r="AL47" s="1007"/>
      <c r="AM47" s="1007"/>
      <c r="AN47" s="1007"/>
      <c r="AO47" s="1007"/>
      <c r="AP47" s="1007"/>
      <c r="AQ47" s="1007"/>
      <c r="AR47" s="1007"/>
      <c r="AS47" s="1007"/>
      <c r="AT47" s="1007"/>
      <c r="AU47" s="1007"/>
      <c r="AV47" s="1007"/>
      <c r="AW47" s="1007"/>
      <c r="AX47" s="1007"/>
      <c r="AY47" s="1007"/>
      <c r="AZ47" s="1007"/>
      <c r="BA47" s="1007"/>
      <c r="BB47" s="1007"/>
      <c r="BC47" s="1007"/>
      <c r="BD47" s="1007"/>
      <c r="BE47" s="1007"/>
      <c r="BF47" s="1007"/>
      <c r="BG47" s="1007"/>
      <c r="BH47" s="1007"/>
      <c r="BI47" s="758"/>
      <c r="BJ47" s="860"/>
      <c r="BK47" s="1326"/>
      <c r="BL47" s="1326"/>
    </row>
    <row r="48" spans="1:64" s="1012" customFormat="1" ht="18.5" x14ac:dyDescent="0.35">
      <c r="A48" s="821">
        <v>16</v>
      </c>
      <c r="B48" s="1013"/>
      <c r="C48" s="1014"/>
      <c r="D48" s="1014"/>
      <c r="E48" s="1015" t="s">
        <v>859</v>
      </c>
      <c r="F48" s="1016"/>
      <c r="G48" s="1016"/>
      <c r="H48" s="1016"/>
      <c r="I48" s="1016"/>
      <c r="J48" s="1016"/>
      <c r="K48" s="1016"/>
      <c r="L48" s="1016"/>
      <c r="M48" s="1016"/>
      <c r="N48" s="1016"/>
      <c r="O48" s="1017"/>
      <c r="P48" s="1018"/>
      <c r="Q48" s="1016"/>
      <c r="R48" s="1016"/>
      <c r="S48" s="1018"/>
      <c r="T48" s="1018"/>
      <c r="U48" s="1019">
        <f>U7+U10+U13+U15+U17+U19+U22+U24+U32+U34+U36+U38+U40+U43</f>
        <v>2250231.7599999998</v>
      </c>
      <c r="V48" s="1020"/>
      <c r="W48" s="1113"/>
      <c r="X48" s="1113"/>
      <c r="Y48" s="1022"/>
      <c r="AA48" s="1023"/>
      <c r="AB48" s="1021"/>
      <c r="AC48" s="1020"/>
      <c r="AE48" s="1023"/>
      <c r="AG48" s="821">
        <v>16</v>
      </c>
      <c r="AH48" s="758"/>
      <c r="AJ48" s="1024"/>
      <c r="AK48" s="1023"/>
      <c r="AL48" s="1025"/>
      <c r="AM48" s="1025"/>
      <c r="AN48" s="1025"/>
      <c r="AO48" s="1025"/>
      <c r="AP48" s="1025"/>
      <c r="AQ48" s="1025"/>
      <c r="AR48" s="1025"/>
      <c r="AS48" s="1025"/>
      <c r="AT48" s="1025"/>
      <c r="AU48" s="1025"/>
      <c r="AV48" s="1025"/>
      <c r="AW48" s="1025"/>
      <c r="AX48" s="1025"/>
      <c r="AY48" s="1025"/>
      <c r="AZ48" s="1025"/>
      <c r="BA48" s="1025"/>
      <c r="BB48" s="1025"/>
      <c r="BC48" s="1025"/>
      <c r="BD48" s="1025"/>
      <c r="BE48" s="1025"/>
      <c r="BF48" s="1025"/>
      <c r="BG48" s="1025"/>
      <c r="BH48" s="1025"/>
      <c r="BI48" s="758"/>
      <c r="BJ48" s="791"/>
      <c r="BK48" s="1326"/>
      <c r="BL48" s="1326"/>
    </row>
    <row r="49" spans="1:64" s="1012" customFormat="1" ht="18.5" x14ac:dyDescent="0.35">
      <c r="A49" s="821">
        <v>17</v>
      </c>
      <c r="B49" s="1026"/>
      <c r="C49" s="1026"/>
      <c r="D49" s="1026"/>
      <c r="E49" s="1027" t="s">
        <v>860</v>
      </c>
      <c r="F49" s="1028"/>
      <c r="G49" s="1028"/>
      <c r="H49" s="1028"/>
      <c r="I49" s="1028"/>
      <c r="J49" s="1028"/>
      <c r="K49" s="1028"/>
      <c r="L49" s="1028"/>
      <c r="M49" s="1028"/>
      <c r="N49" s="1028"/>
      <c r="O49" s="1029"/>
      <c r="P49" s="1030"/>
      <c r="Q49" s="1028"/>
      <c r="R49" s="1028"/>
      <c r="S49" s="1030"/>
      <c r="T49" s="1030"/>
      <c r="U49" s="1028"/>
      <c r="V49" s="1028"/>
      <c r="W49" s="1114">
        <f>W7+W10+W13+W15+W17+W19+W22+W24+W32+W34+W36+W38+W40+W43</f>
        <v>399861306.47666937</v>
      </c>
      <c r="X49" s="1115"/>
      <c r="Y49" s="1032"/>
      <c r="Z49" s="1033"/>
      <c r="AA49" s="1114">
        <f>AA7+AA10+AA13+AA15+AA17+AA19+AA22+AA24+AA32+AA34+AA36+AA38+AA40+AA43</f>
        <v>29455948.928622771</v>
      </c>
      <c r="AB49" s="1031"/>
      <c r="AC49" s="1034"/>
      <c r="AD49" s="1033"/>
      <c r="AE49" s="1114">
        <f>AE7+AE10+AE13+AE15+AE17+AE19+AE22+AE24+AE32+AE34+AE36+AE38+AE40+AE43</f>
        <v>19479067.154970065</v>
      </c>
      <c r="AF49" s="1011"/>
      <c r="AG49" s="821">
        <v>17</v>
      </c>
      <c r="AH49" s="881"/>
      <c r="AI49" s="1011"/>
      <c r="AJ49" s="1011"/>
      <c r="AK49" s="1006"/>
      <c r="AL49" s="1007"/>
      <c r="AM49" s="1007"/>
      <c r="AN49" s="1007"/>
      <c r="AO49" s="1007"/>
      <c r="AP49" s="1007"/>
      <c r="AQ49" s="1007"/>
      <c r="AR49" s="1007"/>
      <c r="AS49" s="1007"/>
      <c r="AT49" s="1007"/>
      <c r="AU49" s="1007"/>
      <c r="AV49" s="1007"/>
      <c r="AW49" s="1007"/>
      <c r="AX49" s="1007"/>
      <c r="AY49" s="1007"/>
      <c r="AZ49" s="1007"/>
      <c r="BA49" s="1007"/>
      <c r="BB49" s="1007"/>
      <c r="BC49" s="1007"/>
      <c r="BD49" s="1007"/>
      <c r="BE49" s="1007"/>
      <c r="BF49" s="1007"/>
      <c r="BG49" s="1007"/>
      <c r="BH49" s="1007"/>
      <c r="BI49" s="881"/>
      <c r="BJ49" s="823"/>
      <c r="BK49" s="1326"/>
      <c r="BL49" s="1326"/>
    </row>
    <row r="50" spans="1:64" s="1012" customFormat="1" ht="18.5" x14ac:dyDescent="0.35">
      <c r="A50" s="821">
        <v>18</v>
      </c>
      <c r="B50" s="1036"/>
      <c r="C50" s="1036"/>
      <c r="D50" s="1036"/>
      <c r="E50" s="1037" t="s">
        <v>861</v>
      </c>
      <c r="F50" s="1038"/>
      <c r="G50" s="1038"/>
      <c r="H50" s="1038"/>
      <c r="I50" s="1038"/>
      <c r="J50" s="1038"/>
      <c r="K50" s="1038"/>
      <c r="L50" s="1038"/>
      <c r="M50" s="1038"/>
      <c r="N50" s="1038"/>
      <c r="O50" s="1039"/>
      <c r="P50" s="1040"/>
      <c r="Q50" s="1038"/>
      <c r="R50" s="1038"/>
      <c r="S50" s="1040"/>
      <c r="T50" s="1040"/>
      <c r="U50" s="1038"/>
      <c r="V50" s="1038"/>
      <c r="W50" s="1038"/>
      <c r="X50" s="1041">
        <f>X7+X10+X13+X15+X17+X19+X22+X24+X32+X34+X36+X38+X40+X43</f>
        <v>366788263.8631056</v>
      </c>
      <c r="Y50" s="1042"/>
      <c r="Z50" s="1043"/>
      <c r="AA50" s="1043"/>
      <c r="AB50" s="1041">
        <f>AB7+AB10+AB13+AB15+AB17+AB19+AB22+AB24+AB32+AB34+AB36+AB38+AB40+AB43</f>
        <v>13598772.167664669</v>
      </c>
      <c r="AC50" s="1020"/>
      <c r="AE50" s="1116"/>
      <c r="AG50" s="821">
        <v>18</v>
      </c>
      <c r="AH50" s="821">
        <v>18</v>
      </c>
      <c r="AI50" s="1036"/>
      <c r="AJ50" s="1037" t="s">
        <v>862</v>
      </c>
      <c r="AK50" s="1117">
        <f t="shared" ref="AK50:BH50" si="1">AK7+AK10+AK13+AK15+AK17+AK19+AK22+AK24+AK32+AK34+AK36+AK38+AK40+AK43</f>
        <v>186901724.25</v>
      </c>
      <c r="AL50" s="1117">
        <f t="shared" si="1"/>
        <v>48173305.750000007</v>
      </c>
      <c r="AM50" s="1117">
        <f t="shared" si="1"/>
        <v>46566461.043927506</v>
      </c>
      <c r="AN50" s="1117">
        <f t="shared" si="1"/>
        <v>13448140.844473073</v>
      </c>
      <c r="AO50" s="1117">
        <f t="shared" si="1"/>
        <v>0</v>
      </c>
      <c r="AP50" s="1117">
        <f t="shared" si="1"/>
        <v>39564739.601846345</v>
      </c>
      <c r="AQ50" s="1117">
        <f t="shared" si="1"/>
        <v>21157780.389154714</v>
      </c>
      <c r="AR50" s="1117">
        <f t="shared" si="1"/>
        <v>7920470.3307897476</v>
      </c>
      <c r="AS50" s="1117">
        <f t="shared" si="1"/>
        <v>996781.42316782346</v>
      </c>
      <c r="AT50" s="1117">
        <f t="shared" si="1"/>
        <v>440484.48224259447</v>
      </c>
      <c r="AU50" s="1117">
        <f t="shared" si="1"/>
        <v>498390.71158391173</v>
      </c>
      <c r="AV50" s="1117">
        <f t="shared" si="1"/>
        <v>498390.71158391173</v>
      </c>
      <c r="AW50" s="1117">
        <f t="shared" si="1"/>
        <v>293656.32149506296</v>
      </c>
      <c r="AX50" s="1117">
        <f t="shared" si="1"/>
        <v>169964.25389221555</v>
      </c>
      <c r="AY50" s="1117">
        <f t="shared" si="1"/>
        <v>159341.48802395209</v>
      </c>
      <c r="AZ50" s="1117">
        <f t="shared" si="1"/>
        <v>138095.95628742513</v>
      </c>
      <c r="BA50" s="1117">
        <f t="shared" si="1"/>
        <v>106227.65868263473</v>
      </c>
      <c r="BB50" s="1117">
        <f t="shared" si="1"/>
        <v>106227.65868263473</v>
      </c>
      <c r="BC50" s="1117">
        <f t="shared" si="1"/>
        <v>106227.65868263473</v>
      </c>
      <c r="BD50" s="1117">
        <f t="shared" si="1"/>
        <v>106227.65868263473</v>
      </c>
      <c r="BE50" s="1117">
        <f t="shared" si="1"/>
        <v>106227.65868263473</v>
      </c>
      <c r="BF50" s="1117">
        <f t="shared" si="1"/>
        <v>14976000.460237049</v>
      </c>
      <c r="BG50" s="1117">
        <f t="shared" si="1"/>
        <v>0</v>
      </c>
      <c r="BH50" s="1117">
        <f t="shared" si="1"/>
        <v>1187814.6035928144</v>
      </c>
      <c r="BI50" s="821">
        <v>18</v>
      </c>
      <c r="BJ50" s="823"/>
      <c r="BK50" s="1326"/>
      <c r="BL50" s="1326"/>
    </row>
    <row r="51" spans="1:64" s="1012" customFormat="1" ht="15" customHeight="1" x14ac:dyDescent="0.35">
      <c r="A51" s="758"/>
      <c r="B51" s="1072" t="s">
        <v>449</v>
      </c>
      <c r="C51" s="1072" t="s">
        <v>450</v>
      </c>
      <c r="D51" s="1072" t="s">
        <v>451</v>
      </c>
      <c r="E51" s="1072" t="s">
        <v>452</v>
      </c>
      <c r="F51" s="1464" t="s">
        <v>453</v>
      </c>
      <c r="G51" s="1464"/>
      <c r="H51" s="1464"/>
      <c r="I51" s="1464"/>
      <c r="J51" s="1464"/>
      <c r="K51" s="1464"/>
      <c r="L51" s="1464"/>
      <c r="M51" s="1464"/>
      <c r="N51" s="1464"/>
      <c r="O51" s="1072" t="s">
        <v>454</v>
      </c>
      <c r="P51" s="1072" t="s">
        <v>455</v>
      </c>
      <c r="Q51" s="1072" t="s">
        <v>456</v>
      </c>
      <c r="R51" s="1072"/>
      <c r="S51" s="1072" t="s">
        <v>457</v>
      </c>
      <c r="T51" s="1072" t="s">
        <v>458</v>
      </c>
      <c r="U51" s="1072" t="s">
        <v>459</v>
      </c>
      <c r="V51" s="1072" t="s">
        <v>460</v>
      </c>
      <c r="W51" s="1072" t="s">
        <v>461</v>
      </c>
      <c r="X51" s="1072" t="s">
        <v>242</v>
      </c>
      <c r="Y51" s="1072" t="s">
        <v>462</v>
      </c>
      <c r="Z51" s="1072" t="s">
        <v>463</v>
      </c>
      <c r="AA51" s="1072" t="s">
        <v>464</v>
      </c>
      <c r="AB51" s="1072" t="s">
        <v>465</v>
      </c>
      <c r="AC51" s="1072" t="s">
        <v>466</v>
      </c>
      <c r="AD51" s="1072" t="s">
        <v>467</v>
      </c>
      <c r="AE51" s="1072" t="s">
        <v>468</v>
      </c>
      <c r="AF51" s="1072" t="s">
        <v>469</v>
      </c>
      <c r="AG51" s="758"/>
      <c r="AH51" s="758"/>
      <c r="AI51" s="1072" t="s">
        <v>449</v>
      </c>
      <c r="AJ51" s="1072" t="s">
        <v>450</v>
      </c>
      <c r="AK51" s="1072" t="s">
        <v>471</v>
      </c>
      <c r="AL51" s="1072" t="s">
        <v>472</v>
      </c>
      <c r="AM51" s="1072" t="s">
        <v>473</v>
      </c>
      <c r="AN51" s="1072" t="s">
        <v>474</v>
      </c>
      <c r="AO51" s="1072" t="s">
        <v>475</v>
      </c>
      <c r="AP51" s="1072" t="s">
        <v>476</v>
      </c>
      <c r="AQ51" s="1072" t="s">
        <v>477</v>
      </c>
      <c r="AR51" s="1072" t="s">
        <v>478</v>
      </c>
      <c r="AS51" s="1072" t="s">
        <v>479</v>
      </c>
      <c r="AT51" s="1072" t="s">
        <v>480</v>
      </c>
      <c r="AU51" s="1072" t="s">
        <v>481</v>
      </c>
      <c r="AV51" s="1072" t="s">
        <v>482</v>
      </c>
      <c r="AW51" s="1072" t="s">
        <v>483</v>
      </c>
      <c r="AX51" s="1072" t="s">
        <v>484</v>
      </c>
      <c r="AY51" s="1072" t="s">
        <v>485</v>
      </c>
      <c r="AZ51" s="1072" t="s">
        <v>486</v>
      </c>
      <c r="BA51" s="1072" t="s">
        <v>487</v>
      </c>
      <c r="BB51" s="1072" t="s">
        <v>488</v>
      </c>
      <c r="BC51" s="1072" t="s">
        <v>489</v>
      </c>
      <c r="BD51" s="1072" t="s">
        <v>490</v>
      </c>
      <c r="BE51" s="1072" t="s">
        <v>491</v>
      </c>
      <c r="BF51" s="1072" t="s">
        <v>492</v>
      </c>
      <c r="BG51" s="1072" t="s">
        <v>493</v>
      </c>
      <c r="BH51" s="1072" t="s">
        <v>494</v>
      </c>
      <c r="BI51" s="758"/>
      <c r="BJ51" s="889"/>
      <c r="BK51" s="1327"/>
      <c r="BL51" s="1327"/>
    </row>
    <row r="52" spans="1:64" s="1012" customFormat="1" ht="18.5" x14ac:dyDescent="0.35">
      <c r="A52" s="758"/>
      <c r="E52" s="1020"/>
      <c r="F52" s="1020"/>
      <c r="G52" s="1020"/>
      <c r="H52" s="1020"/>
      <c r="I52" s="1020"/>
      <c r="J52" s="1020"/>
      <c r="K52" s="1020"/>
      <c r="L52" s="1020"/>
      <c r="M52" s="1020"/>
      <c r="N52" s="1020"/>
      <c r="O52" s="1020"/>
      <c r="Q52" s="1020"/>
      <c r="R52" s="1020"/>
      <c r="U52" s="1020"/>
      <c r="V52" s="1020"/>
      <c r="W52" s="1020"/>
      <c r="X52" s="1020"/>
      <c r="Y52" s="1020"/>
      <c r="AB52" s="1020"/>
      <c r="AC52" s="1020"/>
      <c r="AG52" s="758"/>
      <c r="AH52" s="758"/>
      <c r="BI52" s="758"/>
      <c r="BJ52" s="889"/>
      <c r="BK52" s="1118"/>
      <c r="BL52" s="1119"/>
    </row>
    <row r="53" spans="1:64" x14ac:dyDescent="0.35">
      <c r="AK53" s="928"/>
      <c r="AL53" s="1060"/>
      <c r="AM53" s="928"/>
      <c r="AN53" s="928"/>
      <c r="AO53" s="928"/>
      <c r="AP53" s="928"/>
      <c r="AQ53" s="928"/>
      <c r="AR53" s="928"/>
      <c r="AS53" s="928"/>
      <c r="AT53" s="928"/>
      <c r="AU53" s="928"/>
      <c r="AV53" s="928"/>
      <c r="AW53" s="928"/>
      <c r="AX53" s="928"/>
      <c r="AY53" s="928"/>
      <c r="AZ53" s="928"/>
      <c r="BA53" s="928"/>
      <c r="BB53" s="928"/>
      <c r="BC53" s="928"/>
      <c r="BD53" s="928"/>
      <c r="BE53" s="928"/>
      <c r="BF53" s="1060"/>
    </row>
    <row r="54" spans="1:64" x14ac:dyDescent="0.35">
      <c r="AK54" s="928"/>
      <c r="AL54" s="1060"/>
      <c r="AM54" s="928"/>
      <c r="AN54" s="928"/>
      <c r="AO54" s="928"/>
      <c r="AP54" s="928"/>
      <c r="AQ54" s="928"/>
      <c r="AR54" s="928"/>
      <c r="AS54" s="928"/>
      <c r="AT54" s="928"/>
      <c r="AU54" s="928"/>
      <c r="AV54" s="928"/>
      <c r="AW54" s="928"/>
      <c r="AX54" s="928"/>
      <c r="AY54" s="928"/>
      <c r="AZ54" s="928"/>
      <c r="BA54" s="928"/>
      <c r="BB54" s="928"/>
      <c r="BC54" s="928"/>
      <c r="BD54" s="928"/>
      <c r="BE54" s="928"/>
      <c r="BF54" s="1060"/>
    </row>
    <row r="55" spans="1:64" x14ac:dyDescent="0.35">
      <c r="AK55" s="928"/>
      <c r="AL55" s="1060"/>
      <c r="AM55" s="928"/>
      <c r="AN55" s="928"/>
      <c r="AO55" s="928"/>
      <c r="AP55" s="928"/>
      <c r="AQ55" s="928"/>
      <c r="AR55" s="928"/>
      <c r="AS55" s="928"/>
      <c r="AT55" s="928"/>
      <c r="AU55" s="928"/>
      <c r="AV55" s="928"/>
      <c r="AW55" s="928"/>
      <c r="AX55" s="928"/>
      <c r="AY55" s="928"/>
      <c r="AZ55" s="928"/>
      <c r="BA55" s="928"/>
      <c r="BB55" s="928"/>
      <c r="BC55" s="928"/>
      <c r="BD55" s="928"/>
      <c r="BE55" s="928"/>
      <c r="BF55" s="1060"/>
    </row>
    <row r="56" spans="1:64" x14ac:dyDescent="0.35">
      <c r="AK56" s="928"/>
      <c r="AL56" s="1060"/>
      <c r="AM56" s="928"/>
      <c r="AN56" s="928"/>
      <c r="AO56" s="928"/>
      <c r="AP56" s="928"/>
      <c r="AQ56" s="928"/>
      <c r="AR56" s="928"/>
      <c r="AS56" s="928"/>
      <c r="AT56" s="928"/>
      <c r="AU56" s="928"/>
      <c r="AV56" s="928"/>
      <c r="AW56" s="928"/>
      <c r="AX56" s="928"/>
      <c r="AY56" s="928"/>
      <c r="AZ56" s="928"/>
      <c r="BA56" s="928"/>
      <c r="BB56" s="928"/>
      <c r="BC56" s="928"/>
      <c r="BD56" s="928"/>
      <c r="BE56" s="928"/>
      <c r="BF56" s="1060"/>
    </row>
    <row r="57" spans="1:64" x14ac:dyDescent="0.35">
      <c r="AK57" s="928"/>
      <c r="AL57" s="1060"/>
      <c r="AM57" s="928"/>
      <c r="AN57" s="928"/>
      <c r="AO57" s="928"/>
      <c r="AP57" s="928"/>
      <c r="AQ57" s="928"/>
      <c r="AR57" s="928"/>
      <c r="AS57" s="928"/>
      <c r="AT57" s="928"/>
      <c r="AU57" s="928"/>
      <c r="AV57" s="928"/>
      <c r="AW57" s="928"/>
      <c r="AX57" s="928"/>
      <c r="AY57" s="928"/>
      <c r="AZ57" s="928"/>
      <c r="BA57" s="928"/>
      <c r="BB57" s="928"/>
      <c r="BC57" s="928"/>
      <c r="BD57" s="928"/>
      <c r="BE57" s="928"/>
      <c r="BF57" s="1060"/>
    </row>
    <row r="58" spans="1:64" x14ac:dyDescent="0.35">
      <c r="AK58" s="928"/>
      <c r="AL58" s="1060"/>
      <c r="AM58" s="928"/>
      <c r="AN58" s="928"/>
      <c r="AO58" s="928"/>
      <c r="AP58" s="928"/>
      <c r="AQ58" s="928"/>
      <c r="AR58" s="928"/>
      <c r="AS58" s="928"/>
      <c r="AT58" s="928"/>
      <c r="AU58" s="928"/>
      <c r="AV58" s="928"/>
      <c r="AW58" s="928"/>
      <c r="AX58" s="928"/>
      <c r="AY58" s="928"/>
      <c r="AZ58" s="928"/>
      <c r="BA58" s="928"/>
      <c r="BB58" s="928"/>
      <c r="BC58" s="928"/>
      <c r="BD58" s="928"/>
      <c r="BE58" s="928"/>
      <c r="BF58" s="1060"/>
    </row>
    <row r="59" spans="1:64" x14ac:dyDescent="0.35">
      <c r="AK59" s="928"/>
      <c r="AL59" s="1060"/>
      <c r="AM59" s="1064"/>
      <c r="AN59" s="1065"/>
      <c r="AO59" s="1064"/>
      <c r="AP59" s="1065"/>
      <c r="AQ59" s="1066"/>
      <c r="AR59" s="928"/>
      <c r="AS59" s="928"/>
      <c r="AT59" s="928"/>
      <c r="AU59" s="928"/>
      <c r="AV59" s="928"/>
      <c r="AW59" s="928"/>
      <c r="AX59" s="928"/>
      <c r="AY59" s="928"/>
      <c r="AZ59" s="928"/>
      <c r="BA59" s="928"/>
      <c r="BB59" s="928"/>
      <c r="BC59" s="928"/>
      <c r="BD59" s="928"/>
      <c r="BE59" s="928"/>
      <c r="BF59" s="1060"/>
    </row>
    <row r="60" spans="1:64" x14ac:dyDescent="0.35">
      <c r="AK60" s="928"/>
      <c r="AL60" s="1060"/>
      <c r="AM60" s="1066"/>
      <c r="AN60" s="1066"/>
      <c r="AO60" s="1064"/>
      <c r="AP60" s="1066"/>
      <c r="AQ60" s="1066"/>
      <c r="AR60" s="1066"/>
      <c r="AS60" s="928"/>
      <c r="AT60" s="928"/>
      <c r="AU60" s="928"/>
      <c r="AV60" s="928"/>
      <c r="AW60" s="928"/>
      <c r="AX60" s="928"/>
      <c r="AY60" s="928"/>
      <c r="AZ60" s="928"/>
      <c r="BA60" s="928"/>
      <c r="BB60" s="928"/>
      <c r="BC60" s="928"/>
      <c r="BD60" s="928"/>
      <c r="BE60" s="928"/>
      <c r="BF60" s="1060"/>
    </row>
    <row r="61" spans="1:64" x14ac:dyDescent="0.35">
      <c r="AK61" s="928"/>
      <c r="AL61" s="1060"/>
      <c r="AM61" s="928"/>
      <c r="AN61" s="928"/>
      <c r="AO61" s="928"/>
      <c r="AP61" s="928"/>
      <c r="AQ61" s="928"/>
      <c r="AR61" s="928"/>
      <c r="AS61" s="928"/>
      <c r="AT61" s="928"/>
      <c r="AU61" s="928"/>
      <c r="AV61" s="928"/>
      <c r="AW61" s="928"/>
      <c r="AX61" s="928"/>
      <c r="AY61" s="928"/>
      <c r="AZ61" s="928"/>
      <c r="BA61" s="928"/>
      <c r="BB61" s="928"/>
      <c r="BC61" s="928"/>
      <c r="BD61" s="928"/>
      <c r="BE61" s="928"/>
      <c r="BF61" s="1060"/>
    </row>
    <row r="62" spans="1:64" x14ac:dyDescent="0.35">
      <c r="AK62" s="928"/>
      <c r="AL62" s="1060"/>
      <c r="AM62" s="928"/>
      <c r="AN62" s="928"/>
      <c r="AO62" s="928"/>
      <c r="AP62" s="928"/>
      <c r="AQ62" s="928"/>
      <c r="AR62" s="928"/>
      <c r="AS62" s="928"/>
      <c r="AT62" s="928"/>
      <c r="AU62" s="928"/>
      <c r="AV62" s="928"/>
      <c r="AW62" s="928"/>
      <c r="AX62" s="928"/>
      <c r="AY62" s="928"/>
      <c r="AZ62" s="928"/>
      <c r="BA62" s="928"/>
      <c r="BB62" s="928"/>
      <c r="BC62" s="928"/>
      <c r="BD62" s="928"/>
      <c r="BE62" s="928"/>
      <c r="BF62" s="1060"/>
    </row>
    <row r="63" spans="1:64" x14ac:dyDescent="0.35">
      <c r="Q63" s="750"/>
      <c r="R63" s="750"/>
      <c r="AK63" s="928"/>
      <c r="AL63" s="1060"/>
      <c r="AM63" s="928"/>
      <c r="AN63" s="928"/>
      <c r="AO63" s="928"/>
      <c r="AP63" s="928"/>
      <c r="AQ63" s="1066"/>
      <c r="AR63" s="928"/>
      <c r="AS63" s="928"/>
      <c r="AT63" s="928"/>
      <c r="AU63" s="928"/>
      <c r="AV63" s="928"/>
      <c r="AW63" s="928"/>
      <c r="AX63" s="928"/>
      <c r="AY63" s="928"/>
      <c r="AZ63" s="928"/>
      <c r="BA63" s="928"/>
      <c r="BB63" s="928"/>
      <c r="BC63" s="928"/>
      <c r="BD63" s="928"/>
      <c r="BE63" s="928"/>
      <c r="BF63" s="1060"/>
    </row>
    <row r="64" spans="1:64" x14ac:dyDescent="0.35">
      <c r="AK64" s="928"/>
      <c r="AL64" s="1060"/>
      <c r="AM64" s="928"/>
      <c r="AN64" s="928"/>
      <c r="AO64" s="928"/>
      <c r="AP64" s="928"/>
      <c r="AQ64" s="928"/>
      <c r="AR64" s="928"/>
      <c r="AS64" s="928"/>
      <c r="AT64" s="928"/>
      <c r="AU64" s="928"/>
      <c r="AV64" s="928"/>
      <c r="AW64" s="928"/>
      <c r="AX64" s="928"/>
      <c r="AY64" s="928"/>
      <c r="AZ64" s="928"/>
      <c r="BA64" s="928"/>
      <c r="BB64" s="928"/>
      <c r="BC64" s="928"/>
      <c r="BD64" s="928"/>
      <c r="BE64" s="928"/>
      <c r="BF64" s="1060"/>
    </row>
    <row r="65" spans="37:58" x14ac:dyDescent="0.35">
      <c r="AK65" s="928"/>
      <c r="AL65" s="1060"/>
      <c r="AM65" s="928"/>
      <c r="AN65" s="928"/>
      <c r="AO65" s="928"/>
      <c r="AP65" s="928"/>
      <c r="AQ65" s="928"/>
      <c r="AR65" s="928"/>
      <c r="AS65" s="928"/>
      <c r="AT65" s="928"/>
      <c r="AU65" s="928"/>
      <c r="AV65" s="928"/>
      <c r="AW65" s="928"/>
      <c r="AX65" s="928"/>
      <c r="AY65" s="928"/>
      <c r="AZ65" s="928"/>
      <c r="BA65" s="928"/>
      <c r="BB65" s="928"/>
      <c r="BC65" s="928"/>
      <c r="BD65" s="928"/>
      <c r="BE65" s="928"/>
      <c r="BF65" s="1060"/>
    </row>
    <row r="66" spans="37:58" x14ac:dyDescent="0.35">
      <c r="AK66" s="928"/>
      <c r="AL66" s="1060"/>
      <c r="AM66" s="928"/>
      <c r="AN66" s="928"/>
      <c r="AO66" s="928"/>
      <c r="AP66" s="928"/>
      <c r="AQ66" s="928"/>
      <c r="AR66" s="928"/>
      <c r="AS66" s="928"/>
      <c r="AT66" s="928"/>
      <c r="AU66" s="928"/>
      <c r="AV66" s="928"/>
      <c r="AW66" s="928"/>
      <c r="AX66" s="928"/>
      <c r="AY66" s="928"/>
      <c r="AZ66" s="928"/>
      <c r="BA66" s="928"/>
      <c r="BB66" s="928"/>
      <c r="BC66" s="928"/>
      <c r="BD66" s="928"/>
      <c r="BE66" s="928"/>
      <c r="BF66" s="1060"/>
    </row>
    <row r="67" spans="37:58" x14ac:dyDescent="0.35">
      <c r="AK67" s="928"/>
      <c r="AL67" s="1060"/>
      <c r="AM67" s="928"/>
      <c r="AN67" s="928"/>
      <c r="AO67" s="928"/>
      <c r="AP67" s="928"/>
      <c r="AQ67" s="928"/>
      <c r="AR67" s="928"/>
      <c r="AS67" s="928"/>
      <c r="AT67" s="928"/>
      <c r="AU67" s="928"/>
      <c r="AV67" s="928"/>
      <c r="AW67" s="928"/>
      <c r="AX67" s="928"/>
      <c r="AY67" s="928"/>
      <c r="AZ67" s="928"/>
      <c r="BA67" s="928"/>
      <c r="BB67" s="928"/>
      <c r="BC67" s="928"/>
      <c r="BD67" s="928"/>
      <c r="BE67" s="928"/>
      <c r="BF67" s="1060"/>
    </row>
    <row r="68" spans="37:58" x14ac:dyDescent="0.35">
      <c r="AK68" s="928"/>
      <c r="AL68" s="1060"/>
      <c r="AM68" s="928"/>
      <c r="AN68" s="928"/>
      <c r="AO68" s="928"/>
      <c r="AP68" s="928"/>
      <c r="AQ68" s="928"/>
      <c r="AR68" s="928"/>
      <c r="AS68" s="928"/>
      <c r="AT68" s="928"/>
      <c r="AU68" s="928"/>
      <c r="AV68" s="928"/>
      <c r="AW68" s="928"/>
      <c r="AX68" s="928"/>
      <c r="AY68" s="928"/>
      <c r="AZ68" s="928"/>
      <c r="BA68" s="928"/>
      <c r="BB68" s="928"/>
      <c r="BC68" s="928"/>
      <c r="BD68" s="928"/>
      <c r="BE68" s="928"/>
      <c r="BF68" s="1060"/>
    </row>
    <row r="69" spans="37:58" x14ac:dyDescent="0.35">
      <c r="AK69" s="928"/>
      <c r="AL69" s="1060"/>
      <c r="AM69" s="928"/>
      <c r="AN69" s="928"/>
      <c r="AO69" s="928"/>
      <c r="AP69" s="928"/>
      <c r="AQ69" s="928"/>
      <c r="AR69" s="928"/>
      <c r="AS69" s="928"/>
      <c r="AT69" s="928"/>
      <c r="AU69" s="928"/>
      <c r="AV69" s="928"/>
      <c r="AW69" s="928"/>
      <c r="AX69" s="928"/>
      <c r="AY69" s="928"/>
      <c r="AZ69" s="928"/>
      <c r="BA69" s="928"/>
      <c r="BB69" s="928"/>
      <c r="BC69" s="928"/>
      <c r="BD69" s="928"/>
      <c r="BE69" s="928"/>
      <c r="BF69" s="1060"/>
    </row>
    <row r="70" spans="37:58" x14ac:dyDescent="0.35">
      <c r="AK70" s="928"/>
      <c r="AL70" s="1060"/>
      <c r="AM70" s="928"/>
      <c r="AN70" s="928"/>
      <c r="AO70" s="928"/>
      <c r="AP70" s="928"/>
      <c r="AQ70" s="928"/>
      <c r="AR70" s="928"/>
      <c r="AS70" s="928"/>
      <c r="AT70" s="928"/>
      <c r="AU70" s="928"/>
      <c r="AV70" s="928"/>
      <c r="AW70" s="928"/>
      <c r="AX70" s="928"/>
      <c r="AY70" s="928"/>
      <c r="AZ70" s="928"/>
      <c r="BA70" s="928"/>
      <c r="BB70" s="928"/>
      <c r="BC70" s="928"/>
      <c r="BD70" s="1068"/>
      <c r="BE70" s="1069"/>
      <c r="BF70" s="1060"/>
    </row>
    <row r="71" spans="37:58" x14ac:dyDescent="0.35">
      <c r="AK71" s="928"/>
      <c r="AL71" s="1060"/>
      <c r="AM71" s="928"/>
      <c r="AN71" s="928"/>
      <c r="AO71" s="928"/>
      <c r="AP71" s="928"/>
      <c r="AQ71" s="928"/>
      <c r="AR71" s="928"/>
      <c r="AS71" s="928"/>
      <c r="AT71" s="928"/>
      <c r="AU71" s="928"/>
      <c r="AV71" s="928"/>
      <c r="AW71" s="928"/>
      <c r="AX71" s="928"/>
      <c r="AY71" s="928"/>
      <c r="AZ71" s="928"/>
      <c r="BA71" s="928"/>
      <c r="BB71" s="928"/>
      <c r="BC71" s="928"/>
      <c r="BD71" s="1068"/>
      <c r="BE71" s="1068"/>
      <c r="BF71" s="1060"/>
    </row>
    <row r="72" spans="37:58" x14ac:dyDescent="0.35">
      <c r="AK72" s="928"/>
      <c r="AL72" s="1060"/>
      <c r="AM72" s="928"/>
      <c r="AN72" s="928"/>
      <c r="AO72" s="928"/>
      <c r="AP72" s="928"/>
      <c r="AQ72" s="928"/>
      <c r="AR72" s="928"/>
      <c r="AS72" s="928"/>
      <c r="AT72" s="928"/>
      <c r="AU72" s="928"/>
      <c r="AV72" s="928"/>
      <c r="AW72" s="928"/>
      <c r="AX72" s="928"/>
      <c r="AY72" s="928"/>
      <c r="AZ72" s="928"/>
      <c r="BA72" s="928"/>
      <c r="BB72" s="928"/>
      <c r="BC72" s="928"/>
      <c r="BD72" s="1068"/>
      <c r="BE72" s="1068"/>
      <c r="BF72" s="1060"/>
    </row>
    <row r="73" spans="37:58" x14ac:dyDescent="0.35">
      <c r="AK73" s="928"/>
      <c r="AL73" s="1060"/>
      <c r="AM73" s="928"/>
      <c r="AN73" s="928"/>
      <c r="AO73" s="928"/>
      <c r="AP73" s="928"/>
      <c r="AQ73" s="928"/>
      <c r="AR73" s="928"/>
      <c r="AS73" s="928"/>
      <c r="AT73" s="928"/>
      <c r="AU73" s="928"/>
      <c r="AV73" s="928"/>
      <c r="AW73" s="928"/>
      <c r="AX73" s="928"/>
      <c r="AY73" s="928"/>
      <c r="AZ73" s="928"/>
      <c r="BA73" s="928"/>
      <c r="BB73" s="928"/>
      <c r="BC73" s="928"/>
      <c r="BD73" s="1068"/>
      <c r="BE73" s="1070"/>
      <c r="BF73" s="1060"/>
    </row>
    <row r="74" spans="37:58" x14ac:dyDescent="0.35">
      <c r="AK74" s="928"/>
      <c r="AL74" s="1060"/>
      <c r="AM74" s="928"/>
      <c r="AN74" s="928"/>
      <c r="AO74" s="928"/>
      <c r="AP74" s="928"/>
      <c r="AQ74" s="928"/>
      <c r="AR74" s="928"/>
      <c r="AS74" s="928"/>
      <c r="AT74" s="928"/>
      <c r="AU74" s="928"/>
      <c r="AV74" s="928"/>
      <c r="AW74" s="928"/>
      <c r="AX74" s="928"/>
      <c r="AY74" s="928"/>
      <c r="AZ74" s="928"/>
      <c r="BA74" s="928"/>
      <c r="BB74" s="928"/>
      <c r="BC74" s="928"/>
      <c r="BD74" s="1068"/>
      <c r="BE74" s="1070"/>
      <c r="BF74" s="1060"/>
    </row>
    <row r="75" spans="37:58" x14ac:dyDescent="0.35">
      <c r="AK75" s="928"/>
      <c r="AL75" s="1060"/>
      <c r="AM75" s="928"/>
      <c r="AN75" s="928"/>
      <c r="AO75" s="928"/>
      <c r="AP75" s="928"/>
      <c r="AQ75" s="928"/>
      <c r="AR75" s="928"/>
      <c r="AS75" s="928"/>
      <c r="AT75" s="928"/>
      <c r="AU75" s="928"/>
      <c r="AV75" s="928"/>
      <c r="AW75" s="928"/>
      <c r="AX75" s="928"/>
      <c r="AY75" s="928"/>
      <c r="AZ75" s="928"/>
      <c r="BA75" s="928"/>
      <c r="BB75" s="928"/>
      <c r="BC75" s="928"/>
      <c r="BD75" s="1068"/>
      <c r="BE75" s="1070"/>
      <c r="BF75" s="1060"/>
    </row>
    <row r="76" spans="37:58" x14ac:dyDescent="0.35">
      <c r="AK76" s="928"/>
      <c r="AL76" s="1060"/>
      <c r="AM76" s="928"/>
      <c r="AN76" s="928"/>
      <c r="AO76" s="928"/>
      <c r="AP76" s="928"/>
      <c r="AQ76" s="928"/>
      <c r="AR76" s="928"/>
      <c r="AS76" s="928"/>
      <c r="AT76" s="928"/>
      <c r="AU76" s="928"/>
      <c r="AV76" s="928"/>
      <c r="AW76" s="928"/>
      <c r="AX76" s="928"/>
      <c r="AY76" s="928"/>
      <c r="AZ76" s="928"/>
      <c r="BA76" s="928"/>
      <c r="BB76" s="928"/>
      <c r="BC76" s="928"/>
      <c r="BD76" s="1068"/>
      <c r="BE76" s="1068"/>
      <c r="BF76" s="1060"/>
    </row>
    <row r="77" spans="37:58" x14ac:dyDescent="0.35">
      <c r="AK77" s="928"/>
      <c r="AL77" s="1060"/>
      <c r="AM77" s="928"/>
      <c r="AN77" s="928"/>
      <c r="AO77" s="928"/>
      <c r="AP77" s="928"/>
      <c r="AQ77" s="928"/>
      <c r="AR77" s="928"/>
      <c r="AS77" s="928"/>
      <c r="AT77" s="928"/>
      <c r="AU77" s="928"/>
      <c r="AV77" s="928"/>
      <c r="AW77" s="928"/>
      <c r="AX77" s="928"/>
      <c r="AY77" s="928"/>
      <c r="AZ77" s="928"/>
      <c r="BA77" s="928"/>
      <c r="BB77" s="928"/>
      <c r="BC77" s="928"/>
      <c r="BD77" s="1068"/>
      <c r="BE77" s="1070"/>
      <c r="BF77" s="1060"/>
    </row>
    <row r="78" spans="37:58" x14ac:dyDescent="0.35">
      <c r="AK78" s="928"/>
      <c r="AL78" s="1060"/>
      <c r="AM78" s="928"/>
      <c r="AN78" s="928"/>
      <c r="AO78" s="928"/>
      <c r="AP78" s="928"/>
      <c r="AQ78" s="928"/>
      <c r="AR78" s="928"/>
      <c r="AS78" s="928"/>
      <c r="AT78" s="928"/>
      <c r="AU78" s="928"/>
      <c r="AV78" s="928"/>
      <c r="AW78" s="928"/>
      <c r="AX78" s="928"/>
      <c r="AY78" s="928"/>
      <c r="AZ78" s="928"/>
      <c r="BA78" s="928"/>
      <c r="BB78" s="928"/>
      <c r="BC78" s="928"/>
      <c r="BD78" s="1068"/>
      <c r="BE78" s="1068"/>
      <c r="BF78" s="1060"/>
    </row>
    <row r="79" spans="37:58" x14ac:dyDescent="0.35">
      <c r="AK79" s="928"/>
      <c r="AL79" s="1060"/>
      <c r="AM79" s="928"/>
      <c r="AN79" s="928"/>
      <c r="AO79" s="928"/>
      <c r="AP79" s="928"/>
      <c r="AQ79" s="928"/>
      <c r="AR79" s="928"/>
      <c r="AS79" s="928"/>
      <c r="AT79" s="928"/>
      <c r="AU79" s="928"/>
      <c r="AV79" s="928"/>
      <c r="AW79" s="928"/>
      <c r="AX79" s="928"/>
      <c r="AY79" s="928"/>
      <c r="AZ79" s="928"/>
      <c r="BA79" s="928"/>
      <c r="BB79" s="928"/>
      <c r="BC79" s="928"/>
      <c r="BD79" s="1068"/>
      <c r="BE79" s="1068"/>
      <c r="BF79" s="1060"/>
    </row>
    <row r="80" spans="37:58" x14ac:dyDescent="0.35">
      <c r="AK80" s="928"/>
      <c r="AL80" s="1060"/>
      <c r="AM80" s="928"/>
      <c r="AN80" s="928"/>
      <c r="AO80" s="928"/>
      <c r="AP80" s="928"/>
      <c r="AQ80" s="928"/>
      <c r="AR80" s="928"/>
      <c r="AS80" s="928"/>
      <c r="AT80" s="928"/>
      <c r="AU80" s="928"/>
      <c r="AV80" s="928"/>
      <c r="AW80" s="928"/>
      <c r="AX80" s="928"/>
      <c r="AY80" s="928"/>
      <c r="AZ80" s="928"/>
      <c r="BA80" s="928"/>
      <c r="BB80" s="928"/>
      <c r="BC80" s="928"/>
      <c r="BD80" s="928"/>
      <c r="BE80" s="928"/>
      <c r="BF80" s="1060"/>
    </row>
    <row r="81" spans="37:58" x14ac:dyDescent="0.35">
      <c r="AK81" s="928"/>
      <c r="AL81" s="1060"/>
      <c r="AM81" s="928"/>
      <c r="AN81" s="928"/>
      <c r="AO81" s="928"/>
      <c r="AP81" s="928"/>
      <c r="AQ81" s="928"/>
      <c r="AR81" s="928"/>
      <c r="AS81" s="928"/>
      <c r="AT81" s="928"/>
      <c r="AU81" s="928"/>
      <c r="AV81" s="928"/>
      <c r="AW81" s="928"/>
      <c r="AX81" s="928"/>
      <c r="AY81" s="928"/>
      <c r="AZ81" s="928"/>
      <c r="BA81" s="928"/>
      <c r="BB81" s="928"/>
      <c r="BC81" s="928"/>
      <c r="BD81" s="928"/>
      <c r="BE81" s="928"/>
      <c r="BF81" s="1060"/>
    </row>
    <row r="82" spans="37:58" x14ac:dyDescent="0.35">
      <c r="AK82" s="928"/>
      <c r="AL82" s="1060"/>
      <c r="AM82" s="928"/>
      <c r="AN82" s="928"/>
      <c r="AO82" s="928"/>
      <c r="AP82" s="928"/>
      <c r="AQ82" s="928"/>
      <c r="AR82" s="928"/>
      <c r="AS82" s="928"/>
      <c r="AT82" s="928"/>
      <c r="AU82" s="928"/>
      <c r="AV82" s="928"/>
      <c r="AW82" s="928"/>
      <c r="AX82" s="928"/>
      <c r="AY82" s="928"/>
      <c r="AZ82" s="928"/>
      <c r="BA82" s="928"/>
      <c r="BB82" s="928"/>
      <c r="BC82" s="928"/>
      <c r="BD82" s="928"/>
      <c r="BE82" s="928"/>
      <c r="BF82" s="1060"/>
    </row>
    <row r="83" spans="37:58" x14ac:dyDescent="0.35">
      <c r="AK83" s="928"/>
      <c r="AL83" s="1060"/>
      <c r="AM83" s="928"/>
      <c r="AN83" s="928"/>
      <c r="AO83" s="928"/>
      <c r="AP83" s="928"/>
      <c r="AQ83" s="928"/>
      <c r="AR83" s="928"/>
      <c r="AS83" s="928"/>
      <c r="AT83" s="928"/>
      <c r="AU83" s="928"/>
      <c r="AV83" s="928"/>
      <c r="AW83" s="928"/>
      <c r="AX83" s="928"/>
      <c r="AY83" s="928"/>
      <c r="AZ83" s="928"/>
      <c r="BA83" s="928"/>
      <c r="BB83" s="928"/>
      <c r="BC83" s="928"/>
      <c r="BD83" s="928"/>
      <c r="BE83" s="928"/>
      <c r="BF83" s="1060"/>
    </row>
    <row r="84" spans="37:58" x14ac:dyDescent="0.35">
      <c r="AK84" s="928"/>
      <c r="AL84" s="1060"/>
      <c r="AM84" s="928"/>
      <c r="AN84" s="928"/>
      <c r="AO84" s="928"/>
      <c r="AP84" s="928"/>
      <c r="AQ84" s="928"/>
      <c r="AR84" s="928"/>
      <c r="AS84" s="928"/>
      <c r="AT84" s="928"/>
      <c r="AU84" s="928"/>
      <c r="AV84" s="928"/>
      <c r="AW84" s="928"/>
      <c r="AX84" s="928"/>
      <c r="AY84" s="928"/>
      <c r="AZ84" s="928"/>
      <c r="BA84" s="928"/>
      <c r="BB84" s="928"/>
      <c r="BC84" s="928"/>
      <c r="BD84" s="928"/>
      <c r="BE84" s="928"/>
      <c r="BF84" s="1060"/>
    </row>
    <row r="85" spans="37:58" x14ac:dyDescent="0.35">
      <c r="AK85" s="928"/>
      <c r="AL85" s="1060"/>
      <c r="AM85" s="928"/>
      <c r="AN85" s="928"/>
      <c r="AO85" s="928"/>
      <c r="AP85" s="928"/>
      <c r="AQ85" s="928"/>
      <c r="AR85" s="928"/>
      <c r="AS85" s="928"/>
      <c r="AT85" s="928"/>
      <c r="AU85" s="928"/>
      <c r="AV85" s="928"/>
      <c r="AW85" s="928"/>
      <c r="AX85" s="928"/>
      <c r="AY85" s="928"/>
      <c r="AZ85" s="928"/>
      <c r="BA85" s="928"/>
      <c r="BB85" s="928"/>
      <c r="BC85" s="928"/>
      <c r="BD85" s="928"/>
      <c r="BE85" s="928"/>
      <c r="BF85" s="1060"/>
    </row>
    <row r="86" spans="37:58" x14ac:dyDescent="0.35">
      <c r="AK86" s="928"/>
      <c r="AL86" s="1060"/>
      <c r="AM86" s="928"/>
      <c r="AN86" s="928"/>
      <c r="AO86" s="928"/>
      <c r="AP86" s="928"/>
      <c r="AQ86" s="928"/>
      <c r="AR86" s="928"/>
      <c r="AS86" s="928"/>
      <c r="AT86" s="928"/>
      <c r="AU86" s="928"/>
      <c r="AV86" s="928"/>
      <c r="AW86" s="928"/>
      <c r="AX86" s="928"/>
      <c r="AY86" s="928"/>
      <c r="AZ86" s="928"/>
      <c r="BA86" s="928"/>
      <c r="BB86" s="928"/>
      <c r="BC86" s="928"/>
      <c r="BD86" s="928"/>
      <c r="BE86" s="928"/>
      <c r="BF86" s="1060"/>
    </row>
    <row r="87" spans="37:58" x14ac:dyDescent="0.35">
      <c r="AK87" s="928"/>
      <c r="AL87" s="1060"/>
      <c r="AM87" s="928"/>
      <c r="AN87" s="928"/>
      <c r="AO87" s="928"/>
      <c r="AP87" s="928"/>
      <c r="AQ87" s="928"/>
      <c r="AR87" s="928"/>
      <c r="AS87" s="928"/>
      <c r="AT87" s="928"/>
      <c r="AU87" s="928"/>
      <c r="AV87" s="928"/>
      <c r="AW87" s="928"/>
      <c r="AX87" s="928"/>
      <c r="AY87" s="928"/>
      <c r="AZ87" s="928"/>
      <c r="BA87" s="928"/>
      <c r="BB87" s="928"/>
      <c r="BC87" s="928"/>
      <c r="BD87" s="928"/>
      <c r="BE87" s="928"/>
      <c r="BF87" s="1060"/>
    </row>
    <row r="88" spans="37:58" x14ac:dyDescent="0.35">
      <c r="AK88" s="928"/>
      <c r="AL88" s="1060"/>
      <c r="AM88" s="928"/>
      <c r="AN88" s="928"/>
      <c r="AO88" s="928"/>
      <c r="AP88" s="928"/>
      <c r="AQ88" s="928"/>
      <c r="AR88" s="928"/>
      <c r="AS88" s="928"/>
      <c r="AT88" s="928"/>
      <c r="AU88" s="928"/>
      <c r="AV88" s="928"/>
      <c r="AW88" s="928"/>
      <c r="AX88" s="928"/>
      <c r="AY88" s="928"/>
      <c r="AZ88" s="928"/>
      <c r="BA88" s="928"/>
      <c r="BB88" s="928"/>
      <c r="BC88" s="928"/>
      <c r="BD88" s="928"/>
      <c r="BE88" s="928"/>
      <c r="BF88" s="1060"/>
    </row>
    <row r="89" spans="37:58" x14ac:dyDescent="0.35">
      <c r="AK89" s="928"/>
      <c r="AL89" s="1060"/>
      <c r="AM89" s="928"/>
      <c r="AN89" s="928"/>
      <c r="AO89" s="928"/>
      <c r="AP89" s="928"/>
      <c r="AQ89" s="928"/>
      <c r="AR89" s="928"/>
      <c r="AS89" s="928"/>
      <c r="AT89" s="928"/>
      <c r="AU89" s="928"/>
      <c r="AV89" s="928"/>
      <c r="AW89" s="928"/>
      <c r="AX89" s="928"/>
      <c r="AY89" s="928"/>
      <c r="AZ89" s="928"/>
      <c r="BA89" s="928"/>
      <c r="BB89" s="928"/>
      <c r="BC89" s="928"/>
      <c r="BD89" s="928"/>
      <c r="BE89" s="928"/>
      <c r="BF89" s="1060"/>
    </row>
    <row r="90" spans="37:58" x14ac:dyDescent="0.35">
      <c r="AK90" s="928"/>
      <c r="AL90" s="1060"/>
      <c r="AM90" s="928"/>
      <c r="AN90" s="928"/>
      <c r="AO90" s="928"/>
      <c r="AP90" s="928"/>
      <c r="AQ90" s="928"/>
      <c r="AR90" s="928"/>
      <c r="AS90" s="928"/>
      <c r="AT90" s="928"/>
      <c r="AU90" s="928"/>
      <c r="AV90" s="928"/>
      <c r="AW90" s="928"/>
      <c r="AX90" s="928"/>
      <c r="AY90" s="928"/>
      <c r="AZ90" s="928"/>
      <c r="BA90" s="928"/>
      <c r="BB90" s="928"/>
      <c r="BC90" s="928"/>
      <c r="BD90" s="928"/>
      <c r="BE90" s="928"/>
      <c r="BF90" s="1060"/>
    </row>
    <row r="91" spans="37:58" x14ac:dyDescent="0.35">
      <c r="AK91" s="928"/>
      <c r="AL91" s="1060"/>
      <c r="AM91" s="928"/>
      <c r="AN91" s="928"/>
      <c r="AO91" s="928"/>
      <c r="AP91" s="928"/>
      <c r="AQ91" s="928"/>
      <c r="AR91" s="928"/>
      <c r="AS91" s="928"/>
      <c r="AT91" s="928"/>
      <c r="AU91" s="928"/>
      <c r="AV91" s="928"/>
      <c r="AW91" s="928"/>
      <c r="AX91" s="928"/>
      <c r="AY91" s="928"/>
      <c r="AZ91" s="928"/>
      <c r="BA91" s="928"/>
      <c r="BB91" s="928"/>
      <c r="BC91" s="928"/>
      <c r="BD91" s="928"/>
      <c r="BE91" s="928"/>
      <c r="BF91" s="1060"/>
    </row>
    <row r="92" spans="37:58" x14ac:dyDescent="0.35">
      <c r="AK92" s="928"/>
      <c r="AL92" s="1060"/>
      <c r="AM92" s="928"/>
      <c r="AN92" s="928"/>
      <c r="AO92" s="928"/>
      <c r="AP92" s="928"/>
      <c r="AQ92" s="928"/>
      <c r="AR92" s="928"/>
      <c r="AS92" s="928"/>
      <c r="AT92" s="928"/>
      <c r="AU92" s="928"/>
      <c r="AV92" s="928"/>
      <c r="AW92" s="928"/>
      <c r="AX92" s="928"/>
      <c r="AY92" s="928"/>
      <c r="AZ92" s="928"/>
      <c r="BA92" s="928"/>
      <c r="BB92" s="928"/>
      <c r="BC92" s="928"/>
      <c r="BD92" s="928"/>
      <c r="BE92" s="928"/>
      <c r="BF92" s="1060"/>
    </row>
    <row r="93" spans="37:58" x14ac:dyDescent="0.35">
      <c r="AK93" s="928"/>
      <c r="AL93" s="1060"/>
      <c r="AM93" s="928"/>
      <c r="AN93" s="928"/>
      <c r="AO93" s="928"/>
      <c r="AP93" s="928"/>
      <c r="AQ93" s="928"/>
      <c r="AR93" s="928"/>
      <c r="AS93" s="928"/>
      <c r="AT93" s="928"/>
      <c r="AU93" s="928"/>
      <c r="AV93" s="928"/>
      <c r="AW93" s="928"/>
      <c r="AX93" s="928"/>
      <c r="AY93" s="928"/>
      <c r="AZ93" s="928"/>
      <c r="BA93" s="928"/>
      <c r="BB93" s="928"/>
      <c r="BC93" s="928"/>
      <c r="BD93" s="928"/>
      <c r="BE93" s="928"/>
      <c r="BF93" s="1060"/>
    </row>
    <row r="94" spans="37:58" x14ac:dyDescent="0.35">
      <c r="AK94" s="928"/>
      <c r="AL94" s="1060"/>
      <c r="AM94" s="928"/>
      <c r="AN94" s="928"/>
      <c r="AO94" s="928"/>
      <c r="AP94" s="928"/>
      <c r="AQ94" s="928"/>
      <c r="AR94" s="928"/>
      <c r="AS94" s="928"/>
      <c r="AT94" s="928"/>
      <c r="AU94" s="928"/>
      <c r="AV94" s="928"/>
      <c r="AW94" s="928"/>
      <c r="AX94" s="928"/>
      <c r="AY94" s="928"/>
      <c r="AZ94" s="928"/>
      <c r="BA94" s="928"/>
      <c r="BB94" s="928"/>
      <c r="BC94" s="928"/>
      <c r="BD94" s="928"/>
      <c r="BE94" s="928"/>
      <c r="BF94" s="1060"/>
    </row>
    <row r="95" spans="37:58" x14ac:dyDescent="0.35">
      <c r="AK95" s="928"/>
      <c r="AL95" s="1060"/>
      <c r="AM95" s="928"/>
      <c r="AN95" s="928"/>
      <c r="AO95" s="928"/>
      <c r="AP95" s="928"/>
      <c r="AQ95" s="928"/>
      <c r="AR95" s="928"/>
      <c r="AS95" s="928"/>
      <c r="AT95" s="928"/>
      <c r="AU95" s="928"/>
      <c r="AV95" s="928"/>
      <c r="AW95" s="928"/>
      <c r="AX95" s="928"/>
      <c r="AY95" s="928"/>
      <c r="AZ95" s="928"/>
      <c r="BA95" s="928"/>
      <c r="BB95" s="928"/>
      <c r="BC95" s="928"/>
      <c r="BD95" s="928"/>
      <c r="BE95" s="928"/>
      <c r="BF95" s="1060"/>
    </row>
    <row r="96" spans="37:58" x14ac:dyDescent="0.35">
      <c r="AK96" s="928"/>
      <c r="AL96" s="1060"/>
      <c r="AM96" s="928"/>
      <c r="AN96" s="928"/>
      <c r="AO96" s="928"/>
      <c r="AP96" s="928"/>
      <c r="AQ96" s="928"/>
      <c r="AR96" s="928"/>
      <c r="AS96" s="928"/>
      <c r="AT96" s="928"/>
      <c r="AU96" s="928"/>
      <c r="AV96" s="928"/>
      <c r="AW96" s="928"/>
      <c r="AX96" s="928"/>
      <c r="AY96" s="928"/>
      <c r="AZ96" s="928"/>
      <c r="BA96" s="928"/>
      <c r="BB96" s="928"/>
      <c r="BC96" s="928"/>
      <c r="BD96" s="928"/>
      <c r="BE96" s="928"/>
      <c r="BF96" s="1060"/>
    </row>
    <row r="97" spans="37:58" x14ac:dyDescent="0.35">
      <c r="AK97" s="928"/>
      <c r="AL97" s="1060"/>
      <c r="AM97" s="928"/>
      <c r="AN97" s="928"/>
      <c r="AO97" s="928"/>
      <c r="AP97" s="928"/>
      <c r="AQ97" s="928"/>
      <c r="AR97" s="928"/>
      <c r="AS97" s="928"/>
      <c r="AT97" s="928"/>
      <c r="AU97" s="928"/>
      <c r="AV97" s="928"/>
      <c r="AW97" s="928"/>
      <c r="AX97" s="928"/>
      <c r="AY97" s="928"/>
      <c r="AZ97" s="928"/>
      <c r="BA97" s="928"/>
      <c r="BB97" s="928"/>
      <c r="BC97" s="928"/>
      <c r="BD97" s="928"/>
      <c r="BE97" s="928"/>
      <c r="BF97" s="1060"/>
    </row>
    <row r="98" spans="37:58" x14ac:dyDescent="0.35">
      <c r="AK98" s="928"/>
      <c r="AL98" s="1060"/>
      <c r="AM98" s="928"/>
      <c r="AN98" s="928"/>
      <c r="AO98" s="928"/>
      <c r="AP98" s="928"/>
      <c r="AQ98" s="928"/>
      <c r="AR98" s="928"/>
      <c r="AS98" s="928"/>
      <c r="AT98" s="928"/>
      <c r="AU98" s="928"/>
      <c r="AV98" s="928"/>
      <c r="AW98" s="928"/>
      <c r="AX98" s="928"/>
      <c r="AY98" s="928"/>
      <c r="AZ98" s="928"/>
      <c r="BA98" s="928"/>
      <c r="BB98" s="928"/>
      <c r="BC98" s="928"/>
      <c r="BD98" s="928"/>
      <c r="BE98" s="928"/>
      <c r="BF98" s="1060"/>
    </row>
    <row r="99" spans="37:58" x14ac:dyDescent="0.35">
      <c r="AK99" s="928"/>
      <c r="AL99" s="1060"/>
      <c r="AM99" s="928"/>
      <c r="AN99" s="928"/>
      <c r="AO99" s="928"/>
      <c r="AP99" s="928"/>
      <c r="AQ99" s="928"/>
      <c r="AR99" s="928"/>
      <c r="AS99" s="928"/>
      <c r="AT99" s="928"/>
      <c r="AU99" s="928"/>
      <c r="AV99" s="928"/>
      <c r="AW99" s="928"/>
      <c r="AX99" s="928"/>
      <c r="AY99" s="928"/>
      <c r="AZ99" s="928"/>
      <c r="BA99" s="928"/>
      <c r="BB99" s="928"/>
      <c r="BC99" s="928"/>
      <c r="BD99" s="928"/>
      <c r="BE99" s="928"/>
      <c r="BF99" s="1060"/>
    </row>
    <row r="100" spans="37:58" x14ac:dyDescent="0.35">
      <c r="AK100" s="928"/>
      <c r="AL100" s="1060"/>
      <c r="AM100" s="928"/>
      <c r="AN100" s="928"/>
      <c r="AO100" s="928"/>
      <c r="AP100" s="928"/>
      <c r="AQ100" s="928"/>
      <c r="AR100" s="928"/>
      <c r="AS100" s="928"/>
      <c r="AT100" s="928"/>
      <c r="AU100" s="928"/>
      <c r="AV100" s="928"/>
      <c r="AW100" s="928"/>
      <c r="AX100" s="928"/>
      <c r="AY100" s="928"/>
      <c r="AZ100" s="928"/>
      <c r="BA100" s="928"/>
      <c r="BB100" s="928"/>
      <c r="BC100" s="928"/>
      <c r="BD100" s="928"/>
      <c r="BE100" s="928"/>
      <c r="BF100" s="1060"/>
    </row>
    <row r="101" spans="37:58" x14ac:dyDescent="0.35">
      <c r="AK101" s="928"/>
      <c r="AL101" s="1060"/>
      <c r="AM101" s="928"/>
      <c r="AN101" s="928"/>
      <c r="AO101" s="928"/>
      <c r="AP101" s="928"/>
      <c r="AQ101" s="928"/>
      <c r="AR101" s="928"/>
      <c r="AS101" s="928"/>
      <c r="AT101" s="928"/>
      <c r="AU101" s="928"/>
      <c r="AV101" s="928"/>
      <c r="AW101" s="928"/>
      <c r="AX101" s="928"/>
      <c r="AY101" s="928"/>
      <c r="AZ101" s="928"/>
      <c r="BA101" s="928"/>
      <c r="BB101" s="928"/>
      <c r="BC101" s="928"/>
      <c r="BD101" s="928"/>
      <c r="BE101" s="928"/>
      <c r="BF101" s="1060"/>
    </row>
    <row r="102" spans="37:58" x14ac:dyDescent="0.35">
      <c r="AK102" s="928"/>
      <c r="AL102" s="1060"/>
      <c r="AM102" s="928"/>
      <c r="AN102" s="928"/>
      <c r="AO102" s="928"/>
      <c r="AP102" s="928"/>
      <c r="AQ102" s="928"/>
      <c r="AR102" s="928"/>
      <c r="AS102" s="928"/>
      <c r="AT102" s="928"/>
      <c r="AU102" s="928"/>
      <c r="AV102" s="928"/>
      <c r="AW102" s="928"/>
      <c r="AX102" s="928"/>
      <c r="AY102" s="928"/>
      <c r="AZ102" s="928"/>
      <c r="BA102" s="928"/>
      <c r="BB102" s="928"/>
      <c r="BC102" s="928"/>
      <c r="BD102" s="928"/>
      <c r="BE102" s="928"/>
      <c r="BF102" s="1060"/>
    </row>
    <row r="103" spans="37:58" x14ac:dyDescent="0.35">
      <c r="AK103" s="928"/>
      <c r="AL103" s="1060"/>
      <c r="AM103" s="928"/>
      <c r="AN103" s="928"/>
      <c r="AO103" s="928"/>
      <c r="AP103" s="928"/>
      <c r="AQ103" s="928"/>
      <c r="AR103" s="928"/>
      <c r="AS103" s="928"/>
      <c r="AT103" s="928"/>
      <c r="AU103" s="928"/>
      <c r="AV103" s="928"/>
      <c r="AW103" s="928"/>
      <c r="AX103" s="928"/>
      <c r="AY103" s="928"/>
      <c r="AZ103" s="928"/>
      <c r="BA103" s="928"/>
      <c r="BB103" s="928"/>
      <c r="BC103" s="928"/>
      <c r="BD103" s="928"/>
      <c r="BE103" s="928"/>
      <c r="BF103" s="1060"/>
    </row>
    <row r="104" spans="37:58" x14ac:dyDescent="0.35">
      <c r="AK104" s="928"/>
      <c r="AL104" s="1060"/>
      <c r="AM104" s="928"/>
      <c r="AN104" s="928"/>
      <c r="AO104" s="928"/>
      <c r="AP104" s="928"/>
      <c r="AQ104" s="928"/>
      <c r="AR104" s="928"/>
      <c r="AS104" s="928"/>
      <c r="AT104" s="928"/>
      <c r="AU104" s="928"/>
      <c r="AV104" s="928"/>
      <c r="AW104" s="928"/>
      <c r="AX104" s="928"/>
      <c r="AY104" s="928"/>
      <c r="AZ104" s="928"/>
      <c r="BA104" s="928"/>
      <c r="BB104" s="928"/>
      <c r="BC104" s="928"/>
      <c r="BD104" s="928"/>
      <c r="BE104" s="928"/>
      <c r="BF104" s="1060"/>
    </row>
    <row r="105" spans="37:58" x14ac:dyDescent="0.35">
      <c r="AK105" s="928"/>
      <c r="AL105" s="1060"/>
      <c r="AM105" s="928"/>
      <c r="AN105" s="928"/>
      <c r="AO105" s="928"/>
      <c r="AP105" s="928"/>
      <c r="AQ105" s="928"/>
      <c r="AR105" s="928"/>
      <c r="AS105" s="928"/>
      <c r="AT105" s="928"/>
      <c r="AU105" s="928"/>
      <c r="AV105" s="928"/>
      <c r="AW105" s="928"/>
      <c r="AX105" s="928"/>
      <c r="AY105" s="928"/>
      <c r="AZ105" s="928"/>
      <c r="BA105" s="928"/>
      <c r="BB105" s="928"/>
      <c r="BC105" s="928"/>
      <c r="BD105" s="928"/>
      <c r="BE105" s="928"/>
      <c r="BF105" s="1060"/>
    </row>
  </sheetData>
  <sheetProtection sheet="1" objects="1" scenarios="1"/>
  <mergeCells count="415">
    <mergeCell ref="R28:R29"/>
    <mergeCell ref="R44:R45"/>
    <mergeCell ref="B3:B4"/>
    <mergeCell ref="D3:D4"/>
    <mergeCell ref="E3:E4"/>
    <mergeCell ref="F3:N3"/>
    <mergeCell ref="O3:O4"/>
    <mergeCell ref="W3:W4"/>
    <mergeCell ref="X3:X4"/>
    <mergeCell ref="B21:B22"/>
    <mergeCell ref="C21:C22"/>
    <mergeCell ref="D21:D22"/>
    <mergeCell ref="E21:E22"/>
    <mergeCell ref="O21:O22"/>
    <mergeCell ref="P21:P22"/>
    <mergeCell ref="F22:N22"/>
    <mergeCell ref="S12:S13"/>
    <mergeCell ref="V12:V13"/>
    <mergeCell ref="B16:B17"/>
    <mergeCell ref="C16:C17"/>
    <mergeCell ref="D16:D17"/>
    <mergeCell ref="E16:E17"/>
    <mergeCell ref="O16:O17"/>
    <mergeCell ref="P16:P17"/>
    <mergeCell ref="B14:B15"/>
    <mergeCell ref="C14:C15"/>
    <mergeCell ref="D14:D15"/>
    <mergeCell ref="E14:E15"/>
    <mergeCell ref="O14:O15"/>
    <mergeCell ref="P14:P15"/>
    <mergeCell ref="S14:S15"/>
    <mergeCell ref="BG3:BG4"/>
    <mergeCell ref="BH3:BH4"/>
    <mergeCell ref="AE3:AE4"/>
    <mergeCell ref="AF3:AF4"/>
    <mergeCell ref="Y3:Y4"/>
    <mergeCell ref="Z3:Z4"/>
    <mergeCell ref="AA3:AA4"/>
    <mergeCell ref="P3:P4"/>
    <mergeCell ref="Q3:Q4"/>
    <mergeCell ref="S3:S4"/>
    <mergeCell ref="U3:U4"/>
    <mergeCell ref="V3:V4"/>
    <mergeCell ref="AI3:AI4"/>
    <mergeCell ref="AC3:AC4"/>
    <mergeCell ref="AD3:AD4"/>
    <mergeCell ref="R3:R4"/>
    <mergeCell ref="Y9:Y10"/>
    <mergeCell ref="F44:N44"/>
    <mergeCell ref="O44:O45"/>
    <mergeCell ref="S21:S22"/>
    <mergeCell ref="V21:V22"/>
    <mergeCell ref="Y21:Y22"/>
    <mergeCell ref="Y37:Y38"/>
    <mergeCell ref="F24:N24"/>
    <mergeCell ref="F43:N43"/>
    <mergeCell ref="F38:N38"/>
    <mergeCell ref="Y42:Y43"/>
    <mergeCell ref="F34:N34"/>
    <mergeCell ref="P31:P32"/>
    <mergeCell ref="S31:S32"/>
    <mergeCell ref="V31:V32"/>
    <mergeCell ref="Y31:Y32"/>
    <mergeCell ref="O35:O36"/>
    <mergeCell ref="P35:P36"/>
    <mergeCell ref="S35:S36"/>
    <mergeCell ref="V35:V36"/>
    <mergeCell ref="Y35:Y36"/>
    <mergeCell ref="F36:N36"/>
    <mergeCell ref="F32:N32"/>
    <mergeCell ref="O33:O34"/>
    <mergeCell ref="P33:P34"/>
    <mergeCell ref="BK39:BK40"/>
    <mergeCell ref="BL39:BL40"/>
    <mergeCell ref="AI35:AI36"/>
    <mergeCell ref="AJ35:AJ36"/>
    <mergeCell ref="B44:B45"/>
    <mergeCell ref="C44:C45"/>
    <mergeCell ref="D44:D45"/>
    <mergeCell ref="BK42:BK43"/>
    <mergeCell ref="BK9:BK10"/>
    <mergeCell ref="BL9:BL10"/>
    <mergeCell ref="BK12:BK13"/>
    <mergeCell ref="BL12:BL13"/>
    <mergeCell ref="BK21:BK22"/>
    <mergeCell ref="BL21:BL22"/>
    <mergeCell ref="BK44:BK45"/>
    <mergeCell ref="BL44:BL45"/>
    <mergeCell ref="BK37:BK38"/>
    <mergeCell ref="BL37:BL38"/>
    <mergeCell ref="BK23:BK24"/>
    <mergeCell ref="BL23:BL24"/>
    <mergeCell ref="BL42:BL43"/>
    <mergeCell ref="BK31:BK32"/>
    <mergeCell ref="BL31:BL32"/>
    <mergeCell ref="E44:E45"/>
    <mergeCell ref="BK47:BK51"/>
    <mergeCell ref="BL47:BL51"/>
    <mergeCell ref="P44:P45"/>
    <mergeCell ref="Q44:Q45"/>
    <mergeCell ref="S44:S45"/>
    <mergeCell ref="AF44:AF45"/>
    <mergeCell ref="Z44:Z45"/>
    <mergeCell ref="AA44:AA45"/>
    <mergeCell ref="BG44:BG45"/>
    <mergeCell ref="BH44:BH45"/>
    <mergeCell ref="AE44:AE45"/>
    <mergeCell ref="X44:X45"/>
    <mergeCell ref="Y44:Y45"/>
    <mergeCell ref="U44:U45"/>
    <mergeCell ref="V44:V45"/>
    <mergeCell ref="W44:W45"/>
    <mergeCell ref="AD44:AD45"/>
    <mergeCell ref="B33:B34"/>
    <mergeCell ref="B35:B36"/>
    <mergeCell ref="C35:C36"/>
    <mergeCell ref="D35:D36"/>
    <mergeCell ref="E35:E36"/>
    <mergeCell ref="C33:C34"/>
    <mergeCell ref="D33:D34"/>
    <mergeCell ref="E33:E34"/>
    <mergeCell ref="Y23:Y24"/>
    <mergeCell ref="V23:V24"/>
    <mergeCell ref="B23:B24"/>
    <mergeCell ref="C23:C24"/>
    <mergeCell ref="D23:D24"/>
    <mergeCell ref="E23:E24"/>
    <mergeCell ref="O23:O24"/>
    <mergeCell ref="P23:P24"/>
    <mergeCell ref="S23:S24"/>
    <mergeCell ref="B31:B32"/>
    <mergeCell ref="C31:C32"/>
    <mergeCell ref="D31:D32"/>
    <mergeCell ref="E31:E32"/>
    <mergeCell ref="Y28:Y29"/>
    <mergeCell ref="B28:B29"/>
    <mergeCell ref="D28:D29"/>
    <mergeCell ref="B42:B43"/>
    <mergeCell ref="C42:C43"/>
    <mergeCell ref="D42:D43"/>
    <mergeCell ref="E42:E43"/>
    <mergeCell ref="O42:O43"/>
    <mergeCell ref="P42:P43"/>
    <mergeCell ref="S42:S43"/>
    <mergeCell ref="V42:V43"/>
    <mergeCell ref="B37:B38"/>
    <mergeCell ref="C37:C38"/>
    <mergeCell ref="D37:D38"/>
    <mergeCell ref="E37:E38"/>
    <mergeCell ref="O37:O38"/>
    <mergeCell ref="P37:P38"/>
    <mergeCell ref="E39:E40"/>
    <mergeCell ref="O39:O40"/>
    <mergeCell ref="P39:P40"/>
    <mergeCell ref="B39:B40"/>
    <mergeCell ref="F40:N40"/>
    <mergeCell ref="C39:C40"/>
    <mergeCell ref="D39:D40"/>
    <mergeCell ref="Z42:Z43"/>
    <mergeCell ref="AF42:AF43"/>
    <mergeCell ref="S37:S38"/>
    <mergeCell ref="V37:V38"/>
    <mergeCell ref="AF33:AF34"/>
    <mergeCell ref="Z31:Z32"/>
    <mergeCell ref="AF31:AF32"/>
    <mergeCell ref="S33:S34"/>
    <mergeCell ref="V33:V34"/>
    <mergeCell ref="Y33:Y34"/>
    <mergeCell ref="Z33:Z34"/>
    <mergeCell ref="S39:S40"/>
    <mergeCell ref="V39:V40"/>
    <mergeCell ref="Y39:Y40"/>
    <mergeCell ref="Z39:Z40"/>
    <mergeCell ref="AF39:AF40"/>
    <mergeCell ref="Z35:Z36"/>
    <mergeCell ref="AF35:AF36"/>
    <mergeCell ref="Z37:Z38"/>
    <mergeCell ref="AF37:AF38"/>
    <mergeCell ref="AM33:AN33"/>
    <mergeCell ref="V14:V15"/>
    <mergeCell ref="Y14:Y15"/>
    <mergeCell ref="Y16:Y17"/>
    <mergeCell ref="AI14:AI15"/>
    <mergeCell ref="Z21:Z22"/>
    <mergeCell ref="AF21:AF22"/>
    <mergeCell ref="Z23:Z24"/>
    <mergeCell ref="AF23:AF24"/>
    <mergeCell ref="Z14:Z15"/>
    <mergeCell ref="AM14:AN14"/>
    <mergeCell ref="AF14:AF15"/>
    <mergeCell ref="AJ14:AJ15"/>
    <mergeCell ref="AI16:AI17"/>
    <mergeCell ref="AJ16:AJ17"/>
    <mergeCell ref="AI18:AI19"/>
    <mergeCell ref="AJ18:AJ19"/>
    <mergeCell ref="AI21:AI22"/>
    <mergeCell ref="AJ21:AJ22"/>
    <mergeCell ref="AI23:AI24"/>
    <mergeCell ref="AJ23:AJ24"/>
    <mergeCell ref="AC14:AC15"/>
    <mergeCell ref="AD14:AD15"/>
    <mergeCell ref="AC16:AC17"/>
    <mergeCell ref="BK33:BK34"/>
    <mergeCell ref="BL33:BL34"/>
    <mergeCell ref="AM35:AN35"/>
    <mergeCell ref="BK35:BK36"/>
    <mergeCell ref="BL35:BL36"/>
    <mergeCell ref="Z18:Z19"/>
    <mergeCell ref="AF18:AF19"/>
    <mergeCell ref="BK18:BK19"/>
    <mergeCell ref="BL18:BL19"/>
    <mergeCell ref="AM18:AN18"/>
    <mergeCell ref="AI31:AI32"/>
    <mergeCell ref="AJ31:AJ32"/>
    <mergeCell ref="AI33:AI34"/>
    <mergeCell ref="AJ33:AJ34"/>
    <mergeCell ref="AC31:AC32"/>
    <mergeCell ref="AD31:AD32"/>
    <mergeCell ref="AC33:AC34"/>
    <mergeCell ref="AD33:AD34"/>
    <mergeCell ref="AE28:AE29"/>
    <mergeCell ref="AF28:AF29"/>
    <mergeCell ref="AI28:AI29"/>
    <mergeCell ref="BG28:BG29"/>
    <mergeCell ref="BH28:BH29"/>
    <mergeCell ref="AC35:AC36"/>
    <mergeCell ref="AI37:AI38"/>
    <mergeCell ref="AJ37:AJ38"/>
    <mergeCell ref="AI39:AI40"/>
    <mergeCell ref="AJ39:AJ40"/>
    <mergeCell ref="O31:O32"/>
    <mergeCell ref="AD35:AD36"/>
    <mergeCell ref="AC37:AC38"/>
    <mergeCell ref="AD37:AD38"/>
    <mergeCell ref="AC39:AC40"/>
    <mergeCell ref="AD39:AD40"/>
    <mergeCell ref="AG35:AG36"/>
    <mergeCell ref="AH35:AH36"/>
    <mergeCell ref="AG37:AG38"/>
    <mergeCell ref="AH37:AH38"/>
    <mergeCell ref="AG39:AG40"/>
    <mergeCell ref="AH39:AH40"/>
    <mergeCell ref="AI42:AI43"/>
    <mergeCell ref="AJ42:AJ43"/>
    <mergeCell ref="AI44:AI45"/>
    <mergeCell ref="AJ44:AJ45"/>
    <mergeCell ref="T3:T4"/>
    <mergeCell ref="T9:T10"/>
    <mergeCell ref="T12:T13"/>
    <mergeCell ref="T14:T15"/>
    <mergeCell ref="T16:T17"/>
    <mergeCell ref="T18:T19"/>
    <mergeCell ref="T21:T22"/>
    <mergeCell ref="T23:T24"/>
    <mergeCell ref="T31:T32"/>
    <mergeCell ref="T33:T34"/>
    <mergeCell ref="T35:T36"/>
    <mergeCell ref="T37:T38"/>
    <mergeCell ref="T39:T40"/>
    <mergeCell ref="T42:T43"/>
    <mergeCell ref="T44:T45"/>
    <mergeCell ref="AB3:AB4"/>
    <mergeCell ref="AC42:AC43"/>
    <mergeCell ref="AD42:AD43"/>
    <mergeCell ref="AB44:AB45"/>
    <mergeCell ref="AC44:AC45"/>
    <mergeCell ref="Z9:Z10"/>
    <mergeCell ref="O9:O10"/>
    <mergeCell ref="P9:P10"/>
    <mergeCell ref="F10:N10"/>
    <mergeCell ref="AC9:AC10"/>
    <mergeCell ref="AD9:AD10"/>
    <mergeCell ref="S9:S10"/>
    <mergeCell ref="V9:V10"/>
    <mergeCell ref="Y18:Y19"/>
    <mergeCell ref="F19:N19"/>
    <mergeCell ref="F17:N17"/>
    <mergeCell ref="AD16:AD17"/>
    <mergeCell ref="AC18:AC19"/>
    <mergeCell ref="O12:O13"/>
    <mergeCell ref="P12:P13"/>
    <mergeCell ref="F13:N13"/>
    <mergeCell ref="AC12:AC13"/>
    <mergeCell ref="AD12:AD13"/>
    <mergeCell ref="S16:S17"/>
    <mergeCell ref="V16:V17"/>
    <mergeCell ref="E28:E29"/>
    <mergeCell ref="F28:N28"/>
    <mergeCell ref="O28:O29"/>
    <mergeCell ref="P28:P29"/>
    <mergeCell ref="Q28:Q29"/>
    <mergeCell ref="S28:S29"/>
    <mergeCell ref="T28:T29"/>
    <mergeCell ref="BL16:BL17"/>
    <mergeCell ref="Y12:Y13"/>
    <mergeCell ref="Z12:Z13"/>
    <mergeCell ref="AF12:AF13"/>
    <mergeCell ref="BK16:BK17"/>
    <mergeCell ref="AI12:AI13"/>
    <mergeCell ref="AJ12:AJ13"/>
    <mergeCell ref="Z28:Z29"/>
    <mergeCell ref="AA28:AA29"/>
    <mergeCell ref="AB28:AB29"/>
    <mergeCell ref="AC28:AC29"/>
    <mergeCell ref="AD28:AD29"/>
    <mergeCell ref="AD18:AD19"/>
    <mergeCell ref="AC21:AC22"/>
    <mergeCell ref="AD21:AD22"/>
    <mergeCell ref="AC23:AC24"/>
    <mergeCell ref="AD23:AD24"/>
    <mergeCell ref="Z6:Z7"/>
    <mergeCell ref="AC6:AC7"/>
    <mergeCell ref="AD6:AD7"/>
    <mergeCell ref="B1:AF1"/>
    <mergeCell ref="AI1:BH1"/>
    <mergeCell ref="F2:N2"/>
    <mergeCell ref="B18:B19"/>
    <mergeCell ref="C18:C19"/>
    <mergeCell ref="D18:D19"/>
    <mergeCell ref="E18:E19"/>
    <mergeCell ref="B12:B13"/>
    <mergeCell ref="C12:C13"/>
    <mergeCell ref="D12:D13"/>
    <mergeCell ref="E12:E13"/>
    <mergeCell ref="AF9:AF10"/>
    <mergeCell ref="B9:B10"/>
    <mergeCell ref="C9:C10"/>
    <mergeCell ref="D9:D10"/>
    <mergeCell ref="E9:E10"/>
    <mergeCell ref="V6:V7"/>
    <mergeCell ref="O18:O19"/>
    <mergeCell ref="P18:P19"/>
    <mergeCell ref="S18:S19"/>
    <mergeCell ref="V18:V19"/>
    <mergeCell ref="A6:A7"/>
    <mergeCell ref="A9:A10"/>
    <mergeCell ref="A12:A13"/>
    <mergeCell ref="A14:A15"/>
    <mergeCell ref="BK14:BK15"/>
    <mergeCell ref="BL14:BL15"/>
    <mergeCell ref="F15:N15"/>
    <mergeCell ref="AF6:AF7"/>
    <mergeCell ref="AI6:AI7"/>
    <mergeCell ref="AJ6:AJ7"/>
    <mergeCell ref="BK6:BK7"/>
    <mergeCell ref="BL6:BL7"/>
    <mergeCell ref="F7:N7"/>
    <mergeCell ref="B6:B7"/>
    <mergeCell ref="C6:C7"/>
    <mergeCell ref="D6:D7"/>
    <mergeCell ref="E6:E7"/>
    <mergeCell ref="O6:O7"/>
    <mergeCell ref="P6:P7"/>
    <mergeCell ref="S6:S7"/>
    <mergeCell ref="T6:T7"/>
    <mergeCell ref="AI9:AI10"/>
    <mergeCell ref="AJ9:AJ10"/>
    <mergeCell ref="Y6:Y7"/>
    <mergeCell ref="A16:A17"/>
    <mergeCell ref="A18:A19"/>
    <mergeCell ref="A21:A22"/>
    <mergeCell ref="A23:A24"/>
    <mergeCell ref="A31:A32"/>
    <mergeCell ref="A33:A34"/>
    <mergeCell ref="A35:A36"/>
    <mergeCell ref="A37:A38"/>
    <mergeCell ref="A39:A40"/>
    <mergeCell ref="A42:A43"/>
    <mergeCell ref="B26:AF26"/>
    <mergeCell ref="AI26:BH26"/>
    <mergeCell ref="F51:N51"/>
    <mergeCell ref="AG6:AG7"/>
    <mergeCell ref="AH6:AH7"/>
    <mergeCell ref="AG9:AG10"/>
    <mergeCell ref="AH9:AH10"/>
    <mergeCell ref="AG12:AG13"/>
    <mergeCell ref="AH12:AH13"/>
    <mergeCell ref="AG14:AG15"/>
    <mergeCell ref="AH14:AH15"/>
    <mergeCell ref="AG16:AG17"/>
    <mergeCell ref="AH16:AH17"/>
    <mergeCell ref="AG18:AG19"/>
    <mergeCell ref="AH18:AH19"/>
    <mergeCell ref="AG21:AG22"/>
    <mergeCell ref="AH21:AH22"/>
    <mergeCell ref="AG23:AG24"/>
    <mergeCell ref="AH23:AH24"/>
    <mergeCell ref="AG31:AG32"/>
    <mergeCell ref="AH31:AH32"/>
    <mergeCell ref="AG33:AG34"/>
    <mergeCell ref="AH33:AH34"/>
    <mergeCell ref="AG42:AG43"/>
    <mergeCell ref="AH42:AH43"/>
    <mergeCell ref="F27:N27"/>
    <mergeCell ref="F25:N25"/>
    <mergeCell ref="BI6:BI7"/>
    <mergeCell ref="BI9:BI10"/>
    <mergeCell ref="BI12:BI13"/>
    <mergeCell ref="BI14:BI15"/>
    <mergeCell ref="BI16:BI17"/>
    <mergeCell ref="BI18:BI19"/>
    <mergeCell ref="BI21:BI22"/>
    <mergeCell ref="BI23:BI24"/>
    <mergeCell ref="BI31:BI32"/>
    <mergeCell ref="BI33:BI34"/>
    <mergeCell ref="BI35:BI36"/>
    <mergeCell ref="BI37:BI38"/>
    <mergeCell ref="BI39:BI40"/>
    <mergeCell ref="BI42:BI43"/>
    <mergeCell ref="Z16:Z17"/>
    <mergeCell ref="AF16:AF17"/>
    <mergeCell ref="U28:U29"/>
    <mergeCell ref="V28:V29"/>
    <mergeCell ref="W28:W29"/>
    <mergeCell ref="X28:X29"/>
  </mergeCells>
  <conditionalFormatting sqref="E9 E12 E21">
    <cfRule type="containsText" dxfId="437" priority="69" operator="containsText" text="Desirable">
      <formula>NOT(ISERROR(SEARCH("Desirable",E9)))</formula>
    </cfRule>
    <cfRule type="containsText" dxfId="436" priority="67" operator="containsText" text="Critical">
      <formula>NOT(ISERROR(SEARCH("Critical",E9)))</formula>
    </cfRule>
    <cfRule type="containsText" dxfId="435" priority="68" operator="containsText" text="Essential">
      <formula>NOT(ISERROR(SEARCH("Essential",E9)))</formula>
    </cfRule>
  </conditionalFormatting>
  <conditionalFormatting sqref="E9">
    <cfRule type="containsText" dxfId="434" priority="66" operator="containsText" text="Required">
      <formula>NOT(ISERROR(SEARCH("Required",E9)))</formula>
    </cfRule>
  </conditionalFormatting>
  <conditionalFormatting sqref="E12 E21">
    <cfRule type="containsText" dxfId="433" priority="65" operator="containsText" text="Required">
      <formula>NOT(ISERROR(SEARCH("Required",E12)))</formula>
    </cfRule>
  </conditionalFormatting>
  <conditionalFormatting sqref="E14">
    <cfRule type="containsText" dxfId="432" priority="11" operator="containsText" text="Essential">
      <formula>NOT(ISERROR(SEARCH("Essential",E14)))</formula>
    </cfRule>
    <cfRule type="containsText" dxfId="431" priority="9" operator="containsText" text="Required">
      <formula>NOT(ISERROR(SEARCH("Required",E14)))</formula>
    </cfRule>
    <cfRule type="containsText" dxfId="430" priority="10" operator="containsText" text="Critical">
      <formula>NOT(ISERROR(SEARCH("Critical",E14)))</formula>
    </cfRule>
    <cfRule type="containsText" dxfId="429" priority="12" operator="containsText" text="Desirable">
      <formula>NOT(ISERROR(SEARCH("Desirable",E14)))</formula>
    </cfRule>
  </conditionalFormatting>
  <conditionalFormatting sqref="E16">
    <cfRule type="containsText" dxfId="428" priority="39" operator="containsText" text="Essential">
      <formula>NOT(ISERROR(SEARCH("Essential",E16)))</formula>
    </cfRule>
    <cfRule type="containsText" dxfId="427" priority="38" operator="containsText" text="Critical">
      <formula>NOT(ISERROR(SEARCH("Critical",E16)))</formula>
    </cfRule>
    <cfRule type="containsText" dxfId="426" priority="37" operator="containsText" text="Required">
      <formula>NOT(ISERROR(SEARCH("Required",E16)))</formula>
    </cfRule>
    <cfRule type="containsText" dxfId="425" priority="40" operator="containsText" text="Desirable">
      <formula>NOT(ISERROR(SEARCH("Desirable",E16)))</formula>
    </cfRule>
  </conditionalFormatting>
  <conditionalFormatting sqref="E18">
    <cfRule type="containsText" dxfId="424" priority="17" operator="containsText" text="Required">
      <formula>NOT(ISERROR(SEARCH("Required",E18)))</formula>
    </cfRule>
    <cfRule type="containsText" dxfId="423" priority="18" operator="containsText" text="Critical">
      <formula>NOT(ISERROR(SEARCH("Critical",E18)))</formula>
    </cfRule>
    <cfRule type="containsText" dxfId="422" priority="19" operator="containsText" text="Essential">
      <formula>NOT(ISERROR(SEARCH("Essential",E18)))</formula>
    </cfRule>
    <cfRule type="containsText" dxfId="421" priority="20" operator="containsText" text="Desirable">
      <formula>NOT(ISERROR(SEARCH("Desirable",E18)))</formula>
    </cfRule>
  </conditionalFormatting>
  <conditionalFormatting sqref="E23">
    <cfRule type="containsText" dxfId="420" priority="53" operator="containsText" text="Essential">
      <formula>NOT(ISERROR(SEARCH("Essential",E23)))</formula>
    </cfRule>
    <cfRule type="containsText" dxfId="419" priority="54" operator="containsText" text="Desirable">
      <formula>NOT(ISERROR(SEARCH("Desirable",E23)))</formula>
    </cfRule>
    <cfRule type="containsText" dxfId="418" priority="52" operator="containsText" text="Critical">
      <formula>NOT(ISERROR(SEARCH("Critical",E23)))</formula>
    </cfRule>
    <cfRule type="containsText" dxfId="417" priority="51" operator="containsText" text="Required">
      <formula>NOT(ISERROR(SEARCH("Required",E23)))</formula>
    </cfRule>
  </conditionalFormatting>
  <conditionalFormatting sqref="E31">
    <cfRule type="containsText" dxfId="416" priority="8" operator="containsText" text="Desirable">
      <formula>NOT(ISERROR(SEARCH("Desirable",E31)))</formula>
    </cfRule>
    <cfRule type="containsText" dxfId="415" priority="6" operator="containsText" text="Critical">
      <formula>NOT(ISERROR(SEARCH("Critical",E31)))</formula>
    </cfRule>
    <cfRule type="containsText" dxfId="414" priority="5" operator="containsText" text="Required">
      <formula>NOT(ISERROR(SEARCH("Required",E31)))</formula>
    </cfRule>
    <cfRule type="containsText" dxfId="413" priority="7" operator="containsText" text="Essential">
      <formula>NOT(ISERROR(SEARCH("Essential",E31)))</formula>
    </cfRule>
  </conditionalFormatting>
  <conditionalFormatting sqref="E33">
    <cfRule type="containsText" dxfId="412" priority="34" operator="containsText" text="Critical">
      <formula>NOT(ISERROR(SEARCH("Critical",E33)))</formula>
    </cfRule>
    <cfRule type="containsText" dxfId="411" priority="35" operator="containsText" text="Essential">
      <formula>NOT(ISERROR(SEARCH("Essential",E33)))</formula>
    </cfRule>
    <cfRule type="containsText" dxfId="410" priority="36" operator="containsText" text="Desirable">
      <formula>NOT(ISERROR(SEARCH("Desirable",E33)))</formula>
    </cfRule>
    <cfRule type="containsText" dxfId="409" priority="33" operator="containsText" text="Required">
      <formula>NOT(ISERROR(SEARCH("Required",E33)))</formula>
    </cfRule>
  </conditionalFormatting>
  <conditionalFormatting sqref="E35">
    <cfRule type="containsText" dxfId="408" priority="1" operator="containsText" text="Required">
      <formula>NOT(ISERROR(SEARCH("Required",E35)))</formula>
    </cfRule>
    <cfRule type="containsText" dxfId="407" priority="4" operator="containsText" text="Desirable">
      <formula>NOT(ISERROR(SEARCH("Desirable",E35)))</formula>
    </cfRule>
    <cfRule type="containsText" dxfId="406" priority="3" operator="containsText" text="Essential">
      <formula>NOT(ISERROR(SEARCH("Essential",E35)))</formula>
    </cfRule>
    <cfRule type="containsText" dxfId="405" priority="2" operator="containsText" text="Critical">
      <formula>NOT(ISERROR(SEARCH("Critical",E35)))</formula>
    </cfRule>
  </conditionalFormatting>
  <conditionalFormatting sqref="E37">
    <cfRule type="containsText" dxfId="404" priority="26" operator="containsText" text="Critical">
      <formula>NOT(ISERROR(SEARCH("Critical",E37)))</formula>
    </cfRule>
    <cfRule type="containsText" dxfId="403" priority="25" operator="containsText" text="Required">
      <formula>NOT(ISERROR(SEARCH("Required",E37)))</formula>
    </cfRule>
    <cfRule type="containsText" dxfId="402" priority="27" operator="containsText" text="Essential">
      <formula>NOT(ISERROR(SEARCH("Essential",E37)))</formula>
    </cfRule>
    <cfRule type="containsText" dxfId="401" priority="28" operator="containsText" text="Desirable">
      <formula>NOT(ISERROR(SEARCH("Desirable",E37)))</formula>
    </cfRule>
  </conditionalFormatting>
  <conditionalFormatting sqref="E39">
    <cfRule type="containsText" dxfId="400" priority="22" operator="containsText" text="Critical">
      <formula>NOT(ISERROR(SEARCH("Critical",E39)))</formula>
    </cfRule>
    <cfRule type="containsText" dxfId="399" priority="24" operator="containsText" text="Desirable">
      <formula>NOT(ISERROR(SEARCH("Desirable",E39)))</formula>
    </cfRule>
    <cfRule type="containsText" dxfId="398" priority="23" operator="containsText" text="Essential">
      <formula>NOT(ISERROR(SEARCH("Essential",E39)))</formula>
    </cfRule>
    <cfRule type="containsText" dxfId="397" priority="21" operator="containsText" text="Required">
      <formula>NOT(ISERROR(SEARCH("Required",E39)))</formula>
    </cfRule>
  </conditionalFormatting>
  <conditionalFormatting sqref="E42">
    <cfRule type="containsText" dxfId="396" priority="42" operator="containsText" text="Required">
      <formula>NOT(ISERROR(SEARCH("Required",E42)))</formula>
    </cfRule>
    <cfRule type="containsText" dxfId="395" priority="43" operator="containsText" text="Critical">
      <formula>NOT(ISERROR(SEARCH("Critical",E42)))</formula>
    </cfRule>
    <cfRule type="containsText" dxfId="394" priority="45" operator="containsText" text="Desirable">
      <formula>NOT(ISERROR(SEARCH("Desirable",E42)))</formula>
    </cfRule>
    <cfRule type="containsText" dxfId="393" priority="44" operator="containsText" text="Essential">
      <formula>NOT(ISERROR(SEARCH("Essential",E42)))</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rowBreaks count="1" manualBreakCount="1">
    <brk id="25" max="59" man="1"/>
  </rowBreaks>
  <colBreaks count="1" manualBreakCount="1">
    <brk id="33" max="53"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DJ49"/>
  <sheetViews>
    <sheetView showGridLines="0" zoomScaleNormal="100" workbookViewId="0">
      <pane xSplit="3" ySplit="1" topLeftCell="D8" activePane="bottomRight" state="frozen"/>
      <selection pane="topRight" activeCell="R4" sqref="R4:R5"/>
      <selection pane="bottomLeft" activeCell="R4" sqref="R4:R5"/>
      <selection pane="bottomRight" activeCell="G2" sqref="G2"/>
    </sheetView>
  </sheetViews>
  <sheetFormatPr defaultColWidth="8.90625" defaultRowHeight="14.5" outlineLevelCol="1" x14ac:dyDescent="0.35"/>
  <cols>
    <col min="1" max="1" width="8.90625" style="356" customWidth="1"/>
    <col min="2" max="2" width="8.90625" style="397" customWidth="1"/>
    <col min="3" max="3" width="44.453125" style="356" customWidth="1"/>
    <col min="4" max="4" width="11.08984375" style="356" customWidth="1"/>
    <col min="5" max="6" width="22.08984375" style="356" customWidth="1"/>
    <col min="7" max="7" width="16.90625" style="356" customWidth="1"/>
    <col min="8" max="8" width="33.08984375" style="356" customWidth="1"/>
    <col min="9" max="11" width="16.90625" style="356" customWidth="1"/>
    <col min="12" max="12" width="33.08984375" style="356" customWidth="1"/>
    <col min="13" max="13" width="16.90625" style="356" customWidth="1"/>
    <col min="14" max="14" width="11.08984375" style="356" customWidth="1"/>
    <col min="15" max="20" width="7.90625" style="356" customWidth="1"/>
    <col min="21" max="26" width="7.90625" style="356" hidden="1" customWidth="1" outlineLevel="1"/>
    <col min="27" max="27" width="55.54296875" style="356" customWidth="1" collapsed="1"/>
    <col min="28" max="28" width="22.08984375" style="356" hidden="1" customWidth="1" outlineLevel="1"/>
    <col min="29" max="29" width="33.08984375" style="356" hidden="1" customWidth="1" outlineLevel="1"/>
    <col min="30" max="30" width="12.08984375" style="356" hidden="1" customWidth="1" outlineLevel="1"/>
    <col min="31" max="31" width="33.453125" style="399" hidden="1" customWidth="1" outlineLevel="1"/>
    <col min="32" max="32" width="11.08984375" style="356" customWidth="1" collapsed="1"/>
    <col min="33" max="33" width="19.90625" style="356" customWidth="1"/>
    <col min="34" max="61" width="16.90625" style="356" customWidth="1"/>
    <col min="62" max="64" width="15.453125" style="356" customWidth="1"/>
    <col min="65" max="65" width="8.90625" style="289" hidden="1" customWidth="1" outlineLevel="1"/>
    <col min="66" max="113" width="16.90625" style="289" hidden="1" customWidth="1" outlineLevel="1"/>
    <col min="114" max="114" width="8.90625" style="356" collapsed="1"/>
    <col min="115" max="16384" width="8.90625" style="356"/>
  </cols>
  <sheetData>
    <row r="1" spans="1:113" s="348" customFormat="1" ht="56" x14ac:dyDescent="0.3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298"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287"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154" x14ac:dyDescent="0.3">
      <c r="A2" s="55" t="s">
        <v>1155</v>
      </c>
      <c r="B2" s="90"/>
      <c r="C2" s="1" t="s">
        <v>1156</v>
      </c>
      <c r="D2" s="6" t="s">
        <v>443</v>
      </c>
      <c r="E2" s="1" t="s">
        <v>1157</v>
      </c>
      <c r="F2" s="94" t="s">
        <v>1158</v>
      </c>
      <c r="G2" s="113">
        <v>500000000</v>
      </c>
      <c r="H2" s="400" t="s">
        <v>1159</v>
      </c>
      <c r="I2" s="48">
        <v>170000000</v>
      </c>
      <c r="J2" s="48">
        <f>G2-I2</f>
        <v>330000000</v>
      </c>
      <c r="K2" s="118">
        <v>0</v>
      </c>
      <c r="L2" s="147" t="s">
        <v>1160</v>
      </c>
      <c r="M2" s="129">
        <v>0</v>
      </c>
      <c r="N2" s="100" t="s">
        <v>1161</v>
      </c>
      <c r="O2" s="9"/>
      <c r="P2" s="98"/>
      <c r="Q2" s="98"/>
      <c r="R2" s="9"/>
      <c r="S2" s="9"/>
      <c r="T2" s="103"/>
      <c r="U2" s="255"/>
      <c r="V2" s="252"/>
      <c r="W2" s="252"/>
      <c r="X2" s="255"/>
      <c r="Y2" s="255"/>
      <c r="Z2" s="256"/>
      <c r="AA2" s="96" t="s">
        <v>1162</v>
      </c>
      <c r="AB2" s="6"/>
      <c r="AC2" s="1" t="s">
        <v>1163</v>
      </c>
      <c r="AD2" s="275" t="s">
        <v>346</v>
      </c>
      <c r="AE2" s="90"/>
      <c r="AF2" s="97" t="s">
        <v>242</v>
      </c>
      <c r="AG2" s="94" t="s">
        <v>232</v>
      </c>
      <c r="AH2" s="132"/>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288" t="b">
        <f t="shared" ref="BK2:BK7" si="0">K2=SUM(AH2:BJ2)</f>
        <v>1</v>
      </c>
      <c r="BM2" s="356"/>
      <c r="BN2" s="360">
        <f>$U2*AH2</f>
        <v>0</v>
      </c>
      <c r="BO2" s="360">
        <f>$V2*AH2</f>
        <v>0</v>
      </c>
      <c r="BP2" s="360">
        <f>$W2*AH2</f>
        <v>0</v>
      </c>
      <c r="BQ2" s="360">
        <f>$X2*AH2</f>
        <v>0</v>
      </c>
      <c r="BR2" s="360">
        <f>$Y2*AH2</f>
        <v>0</v>
      </c>
      <c r="BS2" s="360">
        <f>$Z2*AH2</f>
        <v>0</v>
      </c>
      <c r="BT2" s="360">
        <f>$U2*AI2</f>
        <v>0</v>
      </c>
      <c r="BU2" s="360">
        <f>$V2*AI2</f>
        <v>0</v>
      </c>
      <c r="BV2" s="360">
        <f>$W2*AI2</f>
        <v>0</v>
      </c>
      <c r="BW2" s="360">
        <f>$X2*AI2</f>
        <v>0</v>
      </c>
      <c r="BX2" s="360">
        <f>$Y2*AI2</f>
        <v>0</v>
      </c>
      <c r="BY2" s="360">
        <f>$Z2*AI2</f>
        <v>0</v>
      </c>
      <c r="BZ2" s="360">
        <f>$U2*AJ2</f>
        <v>0</v>
      </c>
      <c r="CA2" s="360">
        <f>$V2*AJ2</f>
        <v>0</v>
      </c>
      <c r="CB2" s="360">
        <f>$W2*AJ2</f>
        <v>0</v>
      </c>
      <c r="CC2" s="360">
        <f>$X2*AJ2</f>
        <v>0</v>
      </c>
      <c r="CD2" s="360">
        <f>$Y2*AJ2</f>
        <v>0</v>
      </c>
      <c r="CE2" s="360">
        <f>$Z2*AJ2</f>
        <v>0</v>
      </c>
      <c r="CF2" s="360">
        <f>$U2*AK2</f>
        <v>0</v>
      </c>
      <c r="CG2" s="360">
        <f>$V2*AK2</f>
        <v>0</v>
      </c>
      <c r="CH2" s="360">
        <f>$W2*AK2</f>
        <v>0</v>
      </c>
      <c r="CI2" s="360">
        <f>$X2*AK2</f>
        <v>0</v>
      </c>
      <c r="CJ2" s="360">
        <f>$Y2*AK2</f>
        <v>0</v>
      </c>
      <c r="CK2" s="360">
        <f>$Z2*AK2</f>
        <v>0</v>
      </c>
      <c r="CL2" s="360">
        <f>$U2*AL2</f>
        <v>0</v>
      </c>
      <c r="CM2" s="360">
        <f>$V2*AL2</f>
        <v>0</v>
      </c>
      <c r="CN2" s="360">
        <f>$W2*AL2</f>
        <v>0</v>
      </c>
      <c r="CO2" s="360">
        <f>$X2*AL2</f>
        <v>0</v>
      </c>
      <c r="CP2" s="360">
        <f>$Y2*AL2</f>
        <v>0</v>
      </c>
      <c r="CQ2" s="360">
        <f>$Z2*AL2</f>
        <v>0</v>
      </c>
      <c r="CR2" s="360">
        <f>$U2*AM2</f>
        <v>0</v>
      </c>
      <c r="CS2" s="360">
        <f>$V2*AM2</f>
        <v>0</v>
      </c>
      <c r="CT2" s="360">
        <f>$W2*AM2</f>
        <v>0</v>
      </c>
      <c r="CU2" s="360">
        <f>$X2*AM2</f>
        <v>0</v>
      </c>
      <c r="CV2" s="360">
        <f>$Y2*AM2</f>
        <v>0</v>
      </c>
      <c r="CW2" s="360">
        <f>$Z2*AM2</f>
        <v>0</v>
      </c>
      <c r="CX2" s="360">
        <f>$U2*AN2</f>
        <v>0</v>
      </c>
      <c r="CY2" s="360">
        <f>$V2*AN2</f>
        <v>0</v>
      </c>
      <c r="CZ2" s="360">
        <f>$W2*AN2</f>
        <v>0</v>
      </c>
      <c r="DA2" s="360">
        <f>$X2*AN2</f>
        <v>0</v>
      </c>
      <c r="DB2" s="360">
        <f>$Y2*AN2</f>
        <v>0</v>
      </c>
      <c r="DC2" s="360">
        <f>$Z2*AN2</f>
        <v>0</v>
      </c>
      <c r="DD2" s="360">
        <f>$U2*AO2</f>
        <v>0</v>
      </c>
      <c r="DE2" s="360">
        <f>$V2*AO2</f>
        <v>0</v>
      </c>
      <c r="DF2" s="360">
        <f>$W2*AO2</f>
        <v>0</v>
      </c>
      <c r="DG2" s="360">
        <f>$X2*AO2</f>
        <v>0</v>
      </c>
      <c r="DH2" s="360">
        <f>$Y2*AO2</f>
        <v>0</v>
      </c>
      <c r="DI2" s="360">
        <f>$Z2*AO2</f>
        <v>0</v>
      </c>
    </row>
    <row r="3" spans="1:113" ht="56" x14ac:dyDescent="0.3">
      <c r="A3" s="55" t="s">
        <v>1164</v>
      </c>
      <c r="B3" s="90" t="s">
        <v>1165</v>
      </c>
      <c r="C3" s="1" t="s">
        <v>1166</v>
      </c>
      <c r="D3" s="6" t="s">
        <v>443</v>
      </c>
      <c r="E3" s="1" t="s">
        <v>1167</v>
      </c>
      <c r="F3" s="94" t="s">
        <v>1168</v>
      </c>
      <c r="G3" s="113" t="s">
        <v>1169</v>
      </c>
      <c r="H3" s="114"/>
      <c r="I3" s="48">
        <v>0</v>
      </c>
      <c r="J3" s="48" t="s">
        <v>232</v>
      </c>
      <c r="K3" s="118">
        <v>0</v>
      </c>
      <c r="L3" s="147"/>
      <c r="M3" s="129" t="s">
        <v>232</v>
      </c>
      <c r="N3" s="100" t="s">
        <v>896</v>
      </c>
      <c r="O3" s="9"/>
      <c r="P3" s="98"/>
      <c r="Q3" s="98"/>
      <c r="R3" s="9"/>
      <c r="S3" s="9"/>
      <c r="T3" s="103"/>
      <c r="U3" s="255"/>
      <c r="V3" s="252"/>
      <c r="W3" s="252"/>
      <c r="X3" s="255"/>
      <c r="Y3" s="255"/>
      <c r="Z3" s="256"/>
      <c r="AA3" s="96" t="s">
        <v>1170</v>
      </c>
      <c r="AB3" s="6" t="s">
        <v>239</v>
      </c>
      <c r="AC3" s="1" t="s">
        <v>1171</v>
      </c>
      <c r="AD3" s="274" t="s">
        <v>241</v>
      </c>
      <c r="AE3" s="90"/>
      <c r="AF3" s="97" t="s">
        <v>242</v>
      </c>
      <c r="AG3" s="94" t="s">
        <v>880</v>
      </c>
      <c r="AH3" s="132"/>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288" t="b">
        <f t="shared" si="0"/>
        <v>1</v>
      </c>
      <c r="BM3" s="356"/>
      <c r="BN3" s="360">
        <f t="shared" ref="BN3:BN8" si="1">$U3*AH3</f>
        <v>0</v>
      </c>
      <c r="BO3" s="360">
        <f t="shared" ref="BO3:BO8" si="2">$V3*AH3</f>
        <v>0</v>
      </c>
      <c r="BP3" s="360">
        <f t="shared" ref="BP3:BP8" si="3">$W3*AH3</f>
        <v>0</v>
      </c>
      <c r="BQ3" s="360">
        <f t="shared" ref="BQ3:BQ8" si="4">$X3*AH3</f>
        <v>0</v>
      </c>
      <c r="BR3" s="360">
        <f t="shared" ref="BR3:BR8" si="5">$Y3*AH3</f>
        <v>0</v>
      </c>
      <c r="BS3" s="360">
        <f t="shared" ref="BS3:BS8" si="6">$Z3*AH3</f>
        <v>0</v>
      </c>
      <c r="BT3" s="360">
        <f t="shared" ref="BT3:BT8" si="7">$U3*AI3</f>
        <v>0</v>
      </c>
      <c r="BU3" s="360">
        <f t="shared" ref="BU3:BU8" si="8">$V3*AI3</f>
        <v>0</v>
      </c>
      <c r="BV3" s="360">
        <f t="shared" ref="BV3:BV8" si="9">$W3*AI3</f>
        <v>0</v>
      </c>
      <c r="BW3" s="360">
        <f t="shared" ref="BW3:BW8" si="10">$X3*AI3</f>
        <v>0</v>
      </c>
      <c r="BX3" s="360">
        <f t="shared" ref="BX3:BX8" si="11">$Y3*AI3</f>
        <v>0</v>
      </c>
      <c r="BY3" s="360">
        <f t="shared" ref="BY3:BY8" si="12">$Z3*AI3</f>
        <v>0</v>
      </c>
      <c r="BZ3" s="360">
        <f t="shared" ref="BZ3:BZ8" si="13">$U3*AJ3</f>
        <v>0</v>
      </c>
      <c r="CA3" s="360">
        <f t="shared" ref="CA3:CA8" si="14">$V3*AJ3</f>
        <v>0</v>
      </c>
      <c r="CB3" s="360">
        <f t="shared" ref="CB3:CB8" si="15">$W3*AJ3</f>
        <v>0</v>
      </c>
      <c r="CC3" s="360">
        <f t="shared" ref="CC3:CC8" si="16">$X3*AJ3</f>
        <v>0</v>
      </c>
      <c r="CD3" s="360">
        <f t="shared" ref="CD3:CD8" si="17">$Y3*AJ3</f>
        <v>0</v>
      </c>
      <c r="CE3" s="360">
        <f t="shared" ref="CE3:CE8" si="18">$Z3*AJ3</f>
        <v>0</v>
      </c>
      <c r="CF3" s="360">
        <f t="shared" ref="CF3:CF8" si="19">$U3*AK3</f>
        <v>0</v>
      </c>
      <c r="CG3" s="360">
        <f t="shared" ref="CG3:CG8" si="20">$V3*AK3</f>
        <v>0</v>
      </c>
      <c r="CH3" s="360">
        <f t="shared" ref="CH3:CH8" si="21">$W3*AK3</f>
        <v>0</v>
      </c>
      <c r="CI3" s="360">
        <f t="shared" ref="CI3:CI8" si="22">$X3*AK3</f>
        <v>0</v>
      </c>
      <c r="CJ3" s="360">
        <f t="shared" ref="CJ3:CJ8" si="23">$Y3*AK3</f>
        <v>0</v>
      </c>
      <c r="CK3" s="360">
        <f t="shared" ref="CK3:CK8" si="24">$Z3*AK3</f>
        <v>0</v>
      </c>
      <c r="CL3" s="360">
        <f t="shared" ref="CL3:CL8" si="25">$U3*AL3</f>
        <v>0</v>
      </c>
      <c r="CM3" s="360">
        <f t="shared" ref="CM3:CM8" si="26">$V3*AL3</f>
        <v>0</v>
      </c>
      <c r="CN3" s="360">
        <f t="shared" ref="CN3:CN8" si="27">$W3*AL3</f>
        <v>0</v>
      </c>
      <c r="CO3" s="360">
        <f t="shared" ref="CO3:CO8" si="28">$X3*AL3</f>
        <v>0</v>
      </c>
      <c r="CP3" s="360">
        <f t="shared" ref="CP3:CP8" si="29">$Y3*AL3</f>
        <v>0</v>
      </c>
      <c r="CQ3" s="360">
        <f t="shared" ref="CQ3:CQ8" si="30">$Z3*AL3</f>
        <v>0</v>
      </c>
      <c r="CR3" s="360">
        <f t="shared" ref="CR3:CR8" si="31">$U3*AM3</f>
        <v>0</v>
      </c>
      <c r="CS3" s="360">
        <f t="shared" ref="CS3:CS8" si="32">$V3*AM3</f>
        <v>0</v>
      </c>
      <c r="CT3" s="360">
        <f t="shared" ref="CT3:CT8" si="33">$W3*AM3</f>
        <v>0</v>
      </c>
      <c r="CU3" s="360">
        <f t="shared" ref="CU3:CU8" si="34">$X3*AM3</f>
        <v>0</v>
      </c>
      <c r="CV3" s="360">
        <f t="shared" ref="CV3:CV8" si="35">$Y3*AM3</f>
        <v>0</v>
      </c>
      <c r="CW3" s="360">
        <f t="shared" ref="CW3:CW8" si="36">$Z3*AM3</f>
        <v>0</v>
      </c>
      <c r="CX3" s="360">
        <f t="shared" ref="CX3:CX8" si="37">$U3*AN3</f>
        <v>0</v>
      </c>
      <c r="CY3" s="360">
        <f t="shared" ref="CY3:CY8" si="38">$V3*AN3</f>
        <v>0</v>
      </c>
      <c r="CZ3" s="360">
        <f t="shared" ref="CZ3:CZ8" si="39">$W3*AN3</f>
        <v>0</v>
      </c>
      <c r="DA3" s="360">
        <f t="shared" ref="DA3:DA8" si="40">$X3*AN3</f>
        <v>0</v>
      </c>
      <c r="DB3" s="360">
        <f t="shared" ref="DB3:DB8" si="41">$Y3*AN3</f>
        <v>0</v>
      </c>
      <c r="DC3" s="360">
        <f t="shared" ref="DC3:DC8" si="42">$Z3*AN3</f>
        <v>0</v>
      </c>
      <c r="DD3" s="360">
        <f t="shared" ref="DD3:DD8" si="43">$U3*AO3</f>
        <v>0</v>
      </c>
      <c r="DE3" s="360">
        <f t="shared" ref="DE3:DE8" si="44">$V3*AO3</f>
        <v>0</v>
      </c>
      <c r="DF3" s="360">
        <f t="shared" ref="DF3:DF8" si="45">$W3*AO3</f>
        <v>0</v>
      </c>
      <c r="DG3" s="360">
        <f t="shared" ref="DG3:DG8" si="46">$X3*AO3</f>
        <v>0</v>
      </c>
      <c r="DH3" s="360">
        <f t="shared" ref="DH3:DH8" si="47">$Y3*AO3</f>
        <v>0</v>
      </c>
      <c r="DI3" s="360">
        <f t="shared" ref="DI3:DI8" si="48">$Z3*AO3</f>
        <v>0</v>
      </c>
    </row>
    <row r="4" spans="1:113" ht="56" x14ac:dyDescent="0.35">
      <c r="A4" s="55" t="s">
        <v>1172</v>
      </c>
      <c r="B4" s="90"/>
      <c r="C4" s="6" t="s">
        <v>1173</v>
      </c>
      <c r="D4" s="6" t="s">
        <v>443</v>
      </c>
      <c r="E4" s="1" t="s">
        <v>1174</v>
      </c>
      <c r="F4" s="94" t="s">
        <v>1175</v>
      </c>
      <c r="G4" s="113">
        <f>19370418+25622882</f>
        <v>44993300</v>
      </c>
      <c r="H4" s="114" t="s">
        <v>1176</v>
      </c>
      <c r="I4" s="48">
        <v>0</v>
      </c>
      <c r="J4" s="48">
        <f>G4-I4</f>
        <v>44993300</v>
      </c>
      <c r="K4" s="118">
        <f>J4</f>
        <v>44993300</v>
      </c>
      <c r="L4" s="147"/>
      <c r="M4" s="129">
        <f>J4-K4</f>
        <v>0</v>
      </c>
      <c r="N4" s="100" t="s">
        <v>1177</v>
      </c>
      <c r="O4" s="9"/>
      <c r="P4" s="9"/>
      <c r="Q4" s="9"/>
      <c r="R4" s="9"/>
      <c r="S4" s="9"/>
      <c r="T4" s="103"/>
      <c r="U4" s="242">
        <f>[1]Phasing!D34</f>
        <v>6.7676767676767682E-2</v>
      </c>
      <c r="V4" s="242">
        <f>[1]Phasing!E34</f>
        <v>0.25656565656565655</v>
      </c>
      <c r="W4" s="242">
        <f>[1]Phasing!F34</f>
        <v>0.25454545454545452</v>
      </c>
      <c r="X4" s="242">
        <f>[1]Phasing!G34</f>
        <v>9.0909090909090912E-2</v>
      </c>
      <c r="Y4" s="242">
        <f>[1]Phasing!H34</f>
        <v>9.0909090909090912E-2</v>
      </c>
      <c r="Z4" s="247">
        <f>[1]Phasing!I34</f>
        <v>0.23939393939393938</v>
      </c>
      <c r="AA4" s="96"/>
      <c r="AB4" s="6"/>
      <c r="AC4" s="1" t="s">
        <v>1178</v>
      </c>
      <c r="AD4" s="276" t="s">
        <v>382</v>
      </c>
      <c r="AE4" s="90"/>
      <c r="AF4" s="97" t="s">
        <v>242</v>
      </c>
      <c r="AG4" s="94" t="s">
        <v>880</v>
      </c>
      <c r="AH4" s="164">
        <f>$K$4*'[1]Apportionment %'!C18</f>
        <v>1908112.8074639523</v>
      </c>
      <c r="AI4" s="79">
        <f>$K$4*'[1]Apportionment %'!D18</f>
        <v>6614791.0658750357</v>
      </c>
      <c r="AJ4" s="79">
        <f>$K$4*'[1]Apportionment %'!E18</f>
        <v>2671357.9304495337</v>
      </c>
      <c r="AK4" s="79">
        <f>$K$4*'[1]Apportionment %'!F18</f>
        <v>2053129.3808312127</v>
      </c>
      <c r="AL4" s="79">
        <f>$K$4*'[1]Apportionment %'!G18</f>
        <v>3386264.195646028</v>
      </c>
      <c r="AM4" s="79">
        <f>$K$4*'[1]Apportionment %'!H18</f>
        <v>21625278.484591462</v>
      </c>
      <c r="AN4" s="79">
        <f>$K$4*'[1]Apportionment %'!I18</f>
        <v>3816225.6149279047</v>
      </c>
      <c r="AO4" s="79">
        <f>$K$4*'[1]Apportionment %'!J18</f>
        <v>1653697.7664687589</v>
      </c>
      <c r="AP4" s="79">
        <f>$K$4*'[1]Apportionment %'!K18</f>
        <v>178090.52869663556</v>
      </c>
      <c r="AQ4" s="79">
        <f>$K$4*'[1]Apportionment %'!L18</f>
        <v>175546.37828668364</v>
      </c>
      <c r="AR4" s="79">
        <f>$K$4*'[1]Apportionment %'!M18</f>
        <v>106854.31721798134</v>
      </c>
      <c r="AS4" s="79">
        <f>$K$4*'[1]Apportionment %'!N18</f>
        <v>91589.414758269719</v>
      </c>
      <c r="AT4" s="79">
        <f>$K$4*'[1]Apportionment %'!O18</f>
        <v>89045.264348317782</v>
      </c>
      <c r="AU4" s="79">
        <f>$K$4*'[1]Apportionment %'!P18</f>
        <v>89045.264348317782</v>
      </c>
      <c r="AV4" s="79">
        <f>$K$4*'[1]Apportionment %'!Q18</f>
        <v>89045.264348317782</v>
      </c>
      <c r="AW4" s="79">
        <f>$K$4*'[1]Apportionment %'!R18</f>
        <v>58515.459428894537</v>
      </c>
      <c r="AX4" s="79">
        <f>$K$4*'[1]Apportionment %'!S18</f>
        <v>50883.008199038726</v>
      </c>
      <c r="AY4" s="79">
        <f>$K$4*'[1]Apportionment %'!T18</f>
        <v>40706.406559230985</v>
      </c>
      <c r="AZ4" s="79">
        <f>$K$4*'[1]Apportionment %'!U18</f>
        <v>40706.406559230985</v>
      </c>
      <c r="BA4" s="79">
        <f>$K$4*'[1]Apportionment %'!V18</f>
        <v>38162.256149279048</v>
      </c>
      <c r="BB4" s="79">
        <f>$K$4*'[1]Apportionment %'!W18</f>
        <v>33073.955329375174</v>
      </c>
      <c r="BC4" s="79">
        <f>$K$4*'[1]Apportionment %'!X18</f>
        <v>30529.804919423241</v>
      </c>
      <c r="BD4" s="79">
        <f>$K$4*'[1]Apportionment %'!Y18</f>
        <v>25441.504099519363</v>
      </c>
      <c r="BE4" s="79">
        <f>$K$4*'[1]Apportionment %'!Z18</f>
        <v>25441.504099519363</v>
      </c>
      <c r="BF4" s="79">
        <f>$K$4*'[1]Apportionment %'!AA18</f>
        <v>25441.504099519363</v>
      </c>
      <c r="BG4" s="79">
        <f>$K$4*'[1]Apportionment %'!AB18</f>
        <v>25441.504099519363</v>
      </c>
      <c r="BH4" s="79">
        <f>$K$4*'[1]Apportionment %'!AC18</f>
        <v>25441.504099519363</v>
      </c>
      <c r="BI4" s="79">
        <f>$K$4*'[1]Apportionment %'!AD18</f>
        <v>25441.504099519363</v>
      </c>
      <c r="BJ4" s="8"/>
      <c r="BK4" s="288" t="b">
        <f t="shared" si="0"/>
        <v>1</v>
      </c>
      <c r="BN4" s="360">
        <f t="shared" si="1"/>
        <v>129134.90717180284</v>
      </c>
      <c r="BO4" s="360">
        <f t="shared" si="2"/>
        <v>489556.21524832712</v>
      </c>
      <c r="BP4" s="360">
        <f t="shared" si="3"/>
        <v>485701.44189991511</v>
      </c>
      <c r="BQ4" s="360">
        <f t="shared" si="4"/>
        <v>173464.80067854113</v>
      </c>
      <c r="BR4" s="360">
        <f t="shared" si="5"/>
        <v>173464.80067854113</v>
      </c>
      <c r="BS4" s="360">
        <f t="shared" si="6"/>
        <v>456790.64178682491</v>
      </c>
      <c r="BT4" s="360">
        <f t="shared" si="7"/>
        <v>447667.67819558328</v>
      </c>
      <c r="BU4" s="360">
        <f t="shared" si="8"/>
        <v>1697128.2128608676</v>
      </c>
      <c r="BV4" s="360">
        <f t="shared" si="9"/>
        <v>1683764.9985863725</v>
      </c>
      <c r="BW4" s="360">
        <f t="shared" si="10"/>
        <v>601344.64235227602</v>
      </c>
      <c r="BX4" s="360">
        <f t="shared" si="11"/>
        <v>601344.64235227602</v>
      </c>
      <c r="BY4" s="360">
        <f t="shared" si="12"/>
        <v>1583540.89152766</v>
      </c>
      <c r="BZ4" s="360">
        <f t="shared" si="13"/>
        <v>180788.87004052402</v>
      </c>
      <c r="CA4" s="360">
        <f t="shared" si="14"/>
        <v>685378.70134765806</v>
      </c>
      <c r="CB4" s="360">
        <f t="shared" si="15"/>
        <v>679982.0186598812</v>
      </c>
      <c r="CC4" s="360">
        <f t="shared" si="16"/>
        <v>242850.72094995761</v>
      </c>
      <c r="CD4" s="360">
        <f t="shared" si="17"/>
        <v>242850.72094995761</v>
      </c>
      <c r="CE4" s="360">
        <f t="shared" si="18"/>
        <v>639506.89850155497</v>
      </c>
      <c r="CF4" s="360">
        <f t="shared" si="19"/>
        <v>138949.16011685986</v>
      </c>
      <c r="CG4" s="360">
        <f t="shared" si="20"/>
        <v>526762.48760720005</v>
      </c>
      <c r="CH4" s="360">
        <f t="shared" si="21"/>
        <v>522614.75148430862</v>
      </c>
      <c r="CI4" s="360">
        <f t="shared" si="22"/>
        <v>186648.12553011026</v>
      </c>
      <c r="CJ4" s="360">
        <f t="shared" si="23"/>
        <v>186648.12553011026</v>
      </c>
      <c r="CK4" s="360">
        <f t="shared" si="24"/>
        <v>491506.73056262365</v>
      </c>
      <c r="CL4" s="360">
        <f t="shared" si="25"/>
        <v>229171.41526089283</v>
      </c>
      <c r="CM4" s="360">
        <f t="shared" si="26"/>
        <v>868799.09666069807</v>
      </c>
      <c r="CN4" s="360">
        <f t="shared" si="27"/>
        <v>861958.15889171616</v>
      </c>
      <c r="CO4" s="360">
        <f t="shared" si="28"/>
        <v>307842.19960418437</v>
      </c>
      <c r="CP4" s="360">
        <f t="shared" si="29"/>
        <v>307842.19960418437</v>
      </c>
      <c r="CQ4" s="360">
        <f t="shared" si="30"/>
        <v>810651.12562435213</v>
      </c>
      <c r="CR4" s="360">
        <f t="shared" si="31"/>
        <v>1463528.9479470991</v>
      </c>
      <c r="CS4" s="360">
        <f t="shared" si="32"/>
        <v>5548303.7728143744</v>
      </c>
      <c r="CT4" s="360">
        <f t="shared" si="33"/>
        <v>5504616.3415323719</v>
      </c>
      <c r="CU4" s="360">
        <f t="shared" si="34"/>
        <v>1965934.407690133</v>
      </c>
      <c r="CV4" s="360">
        <f t="shared" si="35"/>
        <v>1965934.407690133</v>
      </c>
      <c r="CW4" s="360">
        <f t="shared" si="36"/>
        <v>5176960.6069173496</v>
      </c>
      <c r="CX4" s="360">
        <f t="shared" si="37"/>
        <v>258269.81434360569</v>
      </c>
      <c r="CY4" s="360">
        <f t="shared" si="38"/>
        <v>979112.43049665424</v>
      </c>
      <c r="CZ4" s="360">
        <f t="shared" si="39"/>
        <v>971402.88379983022</v>
      </c>
      <c r="DA4" s="360">
        <f t="shared" si="40"/>
        <v>346929.60135708225</v>
      </c>
      <c r="DB4" s="360">
        <f t="shared" si="41"/>
        <v>346929.60135708225</v>
      </c>
      <c r="DC4" s="360">
        <f t="shared" si="42"/>
        <v>913581.28357364982</v>
      </c>
      <c r="DD4" s="360">
        <f t="shared" si="43"/>
        <v>111916.91954889582</v>
      </c>
      <c r="DE4" s="360">
        <f t="shared" si="44"/>
        <v>424282.0532152169</v>
      </c>
      <c r="DF4" s="360">
        <f t="shared" si="45"/>
        <v>420941.24964659312</v>
      </c>
      <c r="DG4" s="360">
        <f t="shared" si="46"/>
        <v>150336.160588069</v>
      </c>
      <c r="DH4" s="360">
        <f t="shared" si="47"/>
        <v>150336.160588069</v>
      </c>
      <c r="DI4" s="360">
        <f t="shared" si="48"/>
        <v>395885.22288191499</v>
      </c>
    </row>
    <row r="5" spans="1:113" ht="42" x14ac:dyDescent="0.35">
      <c r="A5" s="55" t="s">
        <v>1179</v>
      </c>
      <c r="B5" s="90" t="s">
        <v>1180</v>
      </c>
      <c r="C5" s="1" t="s">
        <v>1181</v>
      </c>
      <c r="D5" s="6" t="s">
        <v>443</v>
      </c>
      <c r="E5" s="401"/>
      <c r="F5" s="94" t="s">
        <v>1182</v>
      </c>
      <c r="G5" s="113" t="s">
        <v>1169</v>
      </c>
      <c r="H5" s="114"/>
      <c r="I5" s="48">
        <v>0</v>
      </c>
      <c r="J5" s="48" t="s">
        <v>232</v>
      </c>
      <c r="K5" s="118">
        <v>0</v>
      </c>
      <c r="L5" s="147"/>
      <c r="M5" s="129" t="s">
        <v>232</v>
      </c>
      <c r="N5" s="100" t="s">
        <v>1183</v>
      </c>
      <c r="O5" s="98"/>
      <c r="P5" s="98"/>
      <c r="Q5" s="98"/>
      <c r="R5" s="9"/>
      <c r="S5" s="9"/>
      <c r="T5" s="103"/>
      <c r="U5" s="242"/>
      <c r="V5" s="242"/>
      <c r="W5" s="242"/>
      <c r="X5" s="245"/>
      <c r="Y5" s="245"/>
      <c r="Z5" s="246"/>
      <c r="AA5" s="96"/>
      <c r="AB5" s="6" t="s">
        <v>309</v>
      </c>
      <c r="AC5" s="1" t="s">
        <v>1184</v>
      </c>
      <c r="AD5" s="274" t="s">
        <v>241</v>
      </c>
      <c r="AE5" s="90"/>
      <c r="AF5" s="97" t="s">
        <v>242</v>
      </c>
      <c r="AG5" s="94" t="s">
        <v>880</v>
      </c>
      <c r="AH5" s="132"/>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288" t="b">
        <f t="shared" si="0"/>
        <v>1</v>
      </c>
      <c r="BN5" s="360">
        <f t="shared" si="1"/>
        <v>0</v>
      </c>
      <c r="BO5" s="360">
        <f t="shared" si="2"/>
        <v>0</v>
      </c>
      <c r="BP5" s="360">
        <f t="shared" si="3"/>
        <v>0</v>
      </c>
      <c r="BQ5" s="360">
        <f t="shared" si="4"/>
        <v>0</v>
      </c>
      <c r="BR5" s="360">
        <f t="shared" si="5"/>
        <v>0</v>
      </c>
      <c r="BS5" s="360">
        <f t="shared" si="6"/>
        <v>0</v>
      </c>
      <c r="BT5" s="360">
        <f t="shared" si="7"/>
        <v>0</v>
      </c>
      <c r="BU5" s="360">
        <f t="shared" si="8"/>
        <v>0</v>
      </c>
      <c r="BV5" s="360">
        <f t="shared" si="9"/>
        <v>0</v>
      </c>
      <c r="BW5" s="360">
        <f t="shared" si="10"/>
        <v>0</v>
      </c>
      <c r="BX5" s="360">
        <f t="shared" si="11"/>
        <v>0</v>
      </c>
      <c r="BY5" s="360">
        <f t="shared" si="12"/>
        <v>0</v>
      </c>
      <c r="BZ5" s="360">
        <f t="shared" si="13"/>
        <v>0</v>
      </c>
      <c r="CA5" s="360">
        <f t="shared" si="14"/>
        <v>0</v>
      </c>
      <c r="CB5" s="360">
        <f t="shared" si="15"/>
        <v>0</v>
      </c>
      <c r="CC5" s="360">
        <f t="shared" si="16"/>
        <v>0</v>
      </c>
      <c r="CD5" s="360">
        <f t="shared" si="17"/>
        <v>0</v>
      </c>
      <c r="CE5" s="360">
        <f t="shared" si="18"/>
        <v>0</v>
      </c>
      <c r="CF5" s="360">
        <f t="shared" si="19"/>
        <v>0</v>
      </c>
      <c r="CG5" s="360">
        <f t="shared" si="20"/>
        <v>0</v>
      </c>
      <c r="CH5" s="360">
        <f t="shared" si="21"/>
        <v>0</v>
      </c>
      <c r="CI5" s="360">
        <f t="shared" si="22"/>
        <v>0</v>
      </c>
      <c r="CJ5" s="360">
        <f t="shared" si="23"/>
        <v>0</v>
      </c>
      <c r="CK5" s="360">
        <f t="shared" si="24"/>
        <v>0</v>
      </c>
      <c r="CL5" s="360">
        <f t="shared" si="25"/>
        <v>0</v>
      </c>
      <c r="CM5" s="360">
        <f t="shared" si="26"/>
        <v>0</v>
      </c>
      <c r="CN5" s="360">
        <f t="shared" si="27"/>
        <v>0</v>
      </c>
      <c r="CO5" s="360">
        <f t="shared" si="28"/>
        <v>0</v>
      </c>
      <c r="CP5" s="360">
        <f t="shared" si="29"/>
        <v>0</v>
      </c>
      <c r="CQ5" s="360">
        <f t="shared" si="30"/>
        <v>0</v>
      </c>
      <c r="CR5" s="360">
        <f t="shared" si="31"/>
        <v>0</v>
      </c>
      <c r="CS5" s="360">
        <f t="shared" si="32"/>
        <v>0</v>
      </c>
      <c r="CT5" s="360">
        <f t="shared" si="33"/>
        <v>0</v>
      </c>
      <c r="CU5" s="360">
        <f t="shared" si="34"/>
        <v>0</v>
      </c>
      <c r="CV5" s="360">
        <f t="shared" si="35"/>
        <v>0</v>
      </c>
      <c r="CW5" s="360">
        <f t="shared" si="36"/>
        <v>0</v>
      </c>
      <c r="CX5" s="360">
        <f t="shared" si="37"/>
        <v>0</v>
      </c>
      <c r="CY5" s="360">
        <f t="shared" si="38"/>
        <v>0</v>
      </c>
      <c r="CZ5" s="360">
        <f t="shared" si="39"/>
        <v>0</v>
      </c>
      <c r="DA5" s="360">
        <f t="shared" si="40"/>
        <v>0</v>
      </c>
      <c r="DB5" s="360">
        <f t="shared" si="41"/>
        <v>0</v>
      </c>
      <c r="DC5" s="360">
        <f t="shared" si="42"/>
        <v>0</v>
      </c>
      <c r="DD5" s="360">
        <f t="shared" si="43"/>
        <v>0</v>
      </c>
      <c r="DE5" s="360">
        <f t="shared" si="44"/>
        <v>0</v>
      </c>
      <c r="DF5" s="360">
        <f t="shared" si="45"/>
        <v>0</v>
      </c>
      <c r="DG5" s="360">
        <f t="shared" si="46"/>
        <v>0</v>
      </c>
      <c r="DH5" s="360">
        <f t="shared" si="47"/>
        <v>0</v>
      </c>
      <c r="DI5" s="360">
        <f t="shared" si="48"/>
        <v>0</v>
      </c>
    </row>
    <row r="6" spans="1:113" ht="70" x14ac:dyDescent="0.35">
      <c r="A6" s="55" t="s">
        <v>1185</v>
      </c>
      <c r="B6" s="90"/>
      <c r="C6" s="1" t="s">
        <v>1186</v>
      </c>
      <c r="D6" s="6" t="s">
        <v>443</v>
      </c>
      <c r="E6" s="1"/>
      <c r="F6" s="94" t="s">
        <v>1187</v>
      </c>
      <c r="G6" s="113">
        <f>147*'[1]Costs (Arup)'!F16</f>
        <v>5747685.2999999989</v>
      </c>
      <c r="H6" s="114" t="s">
        <v>871</v>
      </c>
      <c r="I6" s="48">
        <v>0</v>
      </c>
      <c r="J6" s="48">
        <f>G6-I6</f>
        <v>5747685.2999999989</v>
      </c>
      <c r="K6" s="118">
        <v>0</v>
      </c>
      <c r="L6" s="147" t="s">
        <v>1188</v>
      </c>
      <c r="M6" s="129">
        <f>J6-K6</f>
        <v>5747685.2999999989</v>
      </c>
      <c r="N6" s="100" t="s">
        <v>896</v>
      </c>
      <c r="O6" s="1"/>
      <c r="P6" s="10"/>
      <c r="Q6" s="10"/>
      <c r="R6" s="98"/>
      <c r="S6" s="98"/>
      <c r="T6" s="160"/>
      <c r="U6" s="362">
        <f>[1]Phasing!D34</f>
        <v>6.7676767676767682E-2</v>
      </c>
      <c r="V6" s="362">
        <f>[1]Phasing!E34</f>
        <v>0.25656565656565655</v>
      </c>
      <c r="W6" s="362">
        <f>[1]Phasing!F34</f>
        <v>0.25454545454545452</v>
      </c>
      <c r="X6" s="362">
        <f>[1]Phasing!G34</f>
        <v>9.0909090909090912E-2</v>
      </c>
      <c r="Y6" s="362">
        <f>[1]Phasing!H34</f>
        <v>9.0909090909090912E-2</v>
      </c>
      <c r="Z6" s="361">
        <f>[1]Phasing!I34</f>
        <v>0.23939393939393938</v>
      </c>
      <c r="AA6" s="96" t="s">
        <v>1189</v>
      </c>
      <c r="AB6" s="1"/>
      <c r="AC6" s="1" t="s">
        <v>1190</v>
      </c>
      <c r="AD6" s="274" t="s">
        <v>241</v>
      </c>
      <c r="AE6" s="90"/>
      <c r="AF6" s="97" t="s">
        <v>242</v>
      </c>
      <c r="AG6" s="94" t="s">
        <v>880</v>
      </c>
      <c r="AH6" s="132"/>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288" t="b">
        <f t="shared" si="0"/>
        <v>1</v>
      </c>
      <c r="BN6" s="360">
        <f t="shared" si="1"/>
        <v>0</v>
      </c>
      <c r="BO6" s="360">
        <f t="shared" si="2"/>
        <v>0</v>
      </c>
      <c r="BP6" s="360">
        <f t="shared" si="3"/>
        <v>0</v>
      </c>
      <c r="BQ6" s="360">
        <f t="shared" si="4"/>
        <v>0</v>
      </c>
      <c r="BR6" s="360">
        <f t="shared" si="5"/>
        <v>0</v>
      </c>
      <c r="BS6" s="360">
        <f t="shared" si="6"/>
        <v>0</v>
      </c>
      <c r="BT6" s="360">
        <f t="shared" si="7"/>
        <v>0</v>
      </c>
      <c r="BU6" s="360">
        <f t="shared" si="8"/>
        <v>0</v>
      </c>
      <c r="BV6" s="360">
        <f t="shared" si="9"/>
        <v>0</v>
      </c>
      <c r="BW6" s="360">
        <f t="shared" si="10"/>
        <v>0</v>
      </c>
      <c r="BX6" s="360">
        <f t="shared" si="11"/>
        <v>0</v>
      </c>
      <c r="BY6" s="360">
        <f t="shared" si="12"/>
        <v>0</v>
      </c>
      <c r="BZ6" s="360">
        <f t="shared" si="13"/>
        <v>0</v>
      </c>
      <c r="CA6" s="360">
        <f t="shared" si="14"/>
        <v>0</v>
      </c>
      <c r="CB6" s="360">
        <f t="shared" si="15"/>
        <v>0</v>
      </c>
      <c r="CC6" s="360">
        <f t="shared" si="16"/>
        <v>0</v>
      </c>
      <c r="CD6" s="360">
        <f t="shared" si="17"/>
        <v>0</v>
      </c>
      <c r="CE6" s="360">
        <f t="shared" si="18"/>
        <v>0</v>
      </c>
      <c r="CF6" s="360">
        <f t="shared" si="19"/>
        <v>0</v>
      </c>
      <c r="CG6" s="360">
        <f t="shared" si="20"/>
        <v>0</v>
      </c>
      <c r="CH6" s="360">
        <f t="shared" si="21"/>
        <v>0</v>
      </c>
      <c r="CI6" s="360">
        <f t="shared" si="22"/>
        <v>0</v>
      </c>
      <c r="CJ6" s="360">
        <f t="shared" si="23"/>
        <v>0</v>
      </c>
      <c r="CK6" s="360">
        <f t="shared" si="24"/>
        <v>0</v>
      </c>
      <c r="CL6" s="360">
        <f t="shared" si="25"/>
        <v>0</v>
      </c>
      <c r="CM6" s="360">
        <f t="shared" si="26"/>
        <v>0</v>
      </c>
      <c r="CN6" s="360">
        <f t="shared" si="27"/>
        <v>0</v>
      </c>
      <c r="CO6" s="360">
        <f t="shared" si="28"/>
        <v>0</v>
      </c>
      <c r="CP6" s="360">
        <f t="shared" si="29"/>
        <v>0</v>
      </c>
      <c r="CQ6" s="360">
        <f t="shared" si="30"/>
        <v>0</v>
      </c>
      <c r="CR6" s="360">
        <f t="shared" si="31"/>
        <v>0</v>
      </c>
      <c r="CS6" s="360">
        <f t="shared" si="32"/>
        <v>0</v>
      </c>
      <c r="CT6" s="360">
        <f t="shared" si="33"/>
        <v>0</v>
      </c>
      <c r="CU6" s="360">
        <f t="shared" si="34"/>
        <v>0</v>
      </c>
      <c r="CV6" s="360">
        <f t="shared" si="35"/>
        <v>0</v>
      </c>
      <c r="CW6" s="360">
        <f t="shared" si="36"/>
        <v>0</v>
      </c>
      <c r="CX6" s="360">
        <f t="shared" si="37"/>
        <v>0</v>
      </c>
      <c r="CY6" s="360">
        <f t="shared" si="38"/>
        <v>0</v>
      </c>
      <c r="CZ6" s="360">
        <f t="shared" si="39"/>
        <v>0</v>
      </c>
      <c r="DA6" s="360">
        <f t="shared" si="40"/>
        <v>0</v>
      </c>
      <c r="DB6" s="360">
        <f t="shared" si="41"/>
        <v>0</v>
      </c>
      <c r="DC6" s="360">
        <f t="shared" si="42"/>
        <v>0</v>
      </c>
      <c r="DD6" s="360">
        <f t="shared" si="43"/>
        <v>0</v>
      </c>
      <c r="DE6" s="360">
        <f t="shared" si="44"/>
        <v>0</v>
      </c>
      <c r="DF6" s="360">
        <f t="shared" si="45"/>
        <v>0</v>
      </c>
      <c r="DG6" s="360">
        <f t="shared" si="46"/>
        <v>0</v>
      </c>
      <c r="DH6" s="360">
        <f t="shared" si="47"/>
        <v>0</v>
      </c>
      <c r="DI6" s="360">
        <f t="shared" si="48"/>
        <v>0</v>
      </c>
    </row>
    <row r="7" spans="1:113" ht="70" x14ac:dyDescent="0.3">
      <c r="A7" s="55" t="s">
        <v>1191</v>
      </c>
      <c r="B7" s="90"/>
      <c r="C7" s="1" t="s">
        <v>1192</v>
      </c>
      <c r="D7" s="6" t="s">
        <v>443</v>
      </c>
      <c r="E7" s="1"/>
      <c r="F7" s="94" t="s">
        <v>1187</v>
      </c>
      <c r="G7" s="113">
        <f>264*'[1]Costs (Arup)'!F15</f>
        <v>11894163.599999998</v>
      </c>
      <c r="H7" s="114" t="s">
        <v>871</v>
      </c>
      <c r="I7" s="48">
        <v>0</v>
      </c>
      <c r="J7" s="48">
        <f>G7-I7</f>
        <v>11894163.599999998</v>
      </c>
      <c r="K7" s="118">
        <v>0</v>
      </c>
      <c r="L7" s="147" t="s">
        <v>1188</v>
      </c>
      <c r="M7" s="129">
        <f>J7-K7</f>
        <v>11894163.599999998</v>
      </c>
      <c r="N7" s="100" t="s">
        <v>896</v>
      </c>
      <c r="O7" s="1"/>
      <c r="P7" s="10"/>
      <c r="Q7" s="10"/>
      <c r="R7" s="98"/>
      <c r="S7" s="98"/>
      <c r="T7" s="160"/>
      <c r="U7" s="362">
        <f>[1]Phasing!D34</f>
        <v>6.7676767676767682E-2</v>
      </c>
      <c r="V7" s="362">
        <f>[1]Phasing!E34</f>
        <v>0.25656565656565655</v>
      </c>
      <c r="W7" s="362">
        <f>[1]Phasing!F34</f>
        <v>0.25454545454545452</v>
      </c>
      <c r="X7" s="362">
        <f>[1]Phasing!G34</f>
        <v>9.0909090909090912E-2</v>
      </c>
      <c r="Y7" s="362">
        <f>[1]Phasing!H34</f>
        <v>9.0909090909090912E-2</v>
      </c>
      <c r="Z7" s="361">
        <f>[1]Phasing!I34</f>
        <v>0.23939393939393938</v>
      </c>
      <c r="AA7" s="96" t="s">
        <v>1193</v>
      </c>
      <c r="AB7" s="1"/>
      <c r="AC7" s="1" t="s">
        <v>1190</v>
      </c>
      <c r="AD7" s="274" t="s">
        <v>241</v>
      </c>
      <c r="AE7" s="90"/>
      <c r="AF7" s="97" t="s">
        <v>242</v>
      </c>
      <c r="AG7" s="94" t="s">
        <v>880</v>
      </c>
      <c r="AH7" s="132"/>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288" t="b">
        <f t="shared" si="0"/>
        <v>1</v>
      </c>
      <c r="BM7" s="356"/>
      <c r="BN7" s="360">
        <f t="shared" si="1"/>
        <v>0</v>
      </c>
      <c r="BO7" s="360">
        <f t="shared" si="2"/>
        <v>0</v>
      </c>
      <c r="BP7" s="360">
        <f t="shared" si="3"/>
        <v>0</v>
      </c>
      <c r="BQ7" s="360">
        <f t="shared" si="4"/>
        <v>0</v>
      </c>
      <c r="BR7" s="360">
        <f t="shared" si="5"/>
        <v>0</v>
      </c>
      <c r="BS7" s="360">
        <f t="shared" si="6"/>
        <v>0</v>
      </c>
      <c r="BT7" s="360">
        <f t="shared" si="7"/>
        <v>0</v>
      </c>
      <c r="BU7" s="360">
        <f t="shared" si="8"/>
        <v>0</v>
      </c>
      <c r="BV7" s="360">
        <f t="shared" si="9"/>
        <v>0</v>
      </c>
      <c r="BW7" s="360">
        <f t="shared" si="10"/>
        <v>0</v>
      </c>
      <c r="BX7" s="360">
        <f t="shared" si="11"/>
        <v>0</v>
      </c>
      <c r="BY7" s="360">
        <f t="shared" si="12"/>
        <v>0</v>
      </c>
      <c r="BZ7" s="360">
        <f t="shared" si="13"/>
        <v>0</v>
      </c>
      <c r="CA7" s="360">
        <f t="shared" si="14"/>
        <v>0</v>
      </c>
      <c r="CB7" s="360">
        <f t="shared" si="15"/>
        <v>0</v>
      </c>
      <c r="CC7" s="360">
        <f t="shared" si="16"/>
        <v>0</v>
      </c>
      <c r="CD7" s="360">
        <f t="shared" si="17"/>
        <v>0</v>
      </c>
      <c r="CE7" s="360">
        <f t="shared" si="18"/>
        <v>0</v>
      </c>
      <c r="CF7" s="360">
        <f t="shared" si="19"/>
        <v>0</v>
      </c>
      <c r="CG7" s="360">
        <f t="shared" si="20"/>
        <v>0</v>
      </c>
      <c r="CH7" s="360">
        <f t="shared" si="21"/>
        <v>0</v>
      </c>
      <c r="CI7" s="360">
        <f t="shared" si="22"/>
        <v>0</v>
      </c>
      <c r="CJ7" s="360">
        <f t="shared" si="23"/>
        <v>0</v>
      </c>
      <c r="CK7" s="360">
        <f t="shared" si="24"/>
        <v>0</v>
      </c>
      <c r="CL7" s="360">
        <f t="shared" si="25"/>
        <v>0</v>
      </c>
      <c r="CM7" s="360">
        <f t="shared" si="26"/>
        <v>0</v>
      </c>
      <c r="CN7" s="360">
        <f t="shared" si="27"/>
        <v>0</v>
      </c>
      <c r="CO7" s="360">
        <f t="shared" si="28"/>
        <v>0</v>
      </c>
      <c r="CP7" s="360">
        <f t="shared" si="29"/>
        <v>0</v>
      </c>
      <c r="CQ7" s="360">
        <f t="shared" si="30"/>
        <v>0</v>
      </c>
      <c r="CR7" s="360">
        <f t="shared" si="31"/>
        <v>0</v>
      </c>
      <c r="CS7" s="360">
        <f t="shared" si="32"/>
        <v>0</v>
      </c>
      <c r="CT7" s="360">
        <f t="shared" si="33"/>
        <v>0</v>
      </c>
      <c r="CU7" s="360">
        <f t="shared" si="34"/>
        <v>0</v>
      </c>
      <c r="CV7" s="360">
        <f t="shared" si="35"/>
        <v>0</v>
      </c>
      <c r="CW7" s="360">
        <f t="shared" si="36"/>
        <v>0</v>
      </c>
      <c r="CX7" s="360">
        <f t="shared" si="37"/>
        <v>0</v>
      </c>
      <c r="CY7" s="360">
        <f t="shared" si="38"/>
        <v>0</v>
      </c>
      <c r="CZ7" s="360">
        <f t="shared" si="39"/>
        <v>0</v>
      </c>
      <c r="DA7" s="360">
        <f t="shared" si="40"/>
        <v>0</v>
      </c>
      <c r="DB7" s="360">
        <f t="shared" si="41"/>
        <v>0</v>
      </c>
      <c r="DC7" s="360">
        <f t="shared" si="42"/>
        <v>0</v>
      </c>
      <c r="DD7" s="360">
        <f t="shared" si="43"/>
        <v>0</v>
      </c>
      <c r="DE7" s="360">
        <f t="shared" si="44"/>
        <v>0</v>
      </c>
      <c r="DF7" s="360">
        <f t="shared" si="45"/>
        <v>0</v>
      </c>
      <c r="DG7" s="360">
        <f t="shared" si="46"/>
        <v>0</v>
      </c>
      <c r="DH7" s="360">
        <f t="shared" si="47"/>
        <v>0</v>
      </c>
      <c r="DI7" s="360">
        <f t="shared" si="48"/>
        <v>0</v>
      </c>
    </row>
    <row r="8" spans="1:113" ht="70" x14ac:dyDescent="0.3">
      <c r="A8" s="55" t="s">
        <v>1194</v>
      </c>
      <c r="B8" s="90"/>
      <c r="C8" s="1" t="s">
        <v>1195</v>
      </c>
      <c r="D8" s="6" t="s">
        <v>443</v>
      </c>
      <c r="E8" s="1"/>
      <c r="F8" s="94" t="s">
        <v>1187</v>
      </c>
      <c r="G8" s="113">
        <f>382*'[1]Costs (Arup)'!F16</f>
        <v>14936161.799999997</v>
      </c>
      <c r="H8" s="114" t="s">
        <v>871</v>
      </c>
      <c r="I8" s="48">
        <v>0</v>
      </c>
      <c r="J8" s="48">
        <f>G8-I8</f>
        <v>14936161.799999997</v>
      </c>
      <c r="K8" s="118">
        <v>0</v>
      </c>
      <c r="L8" s="147" t="s">
        <v>1188</v>
      </c>
      <c r="M8" s="129">
        <f>J8-K8</f>
        <v>14936161.799999997</v>
      </c>
      <c r="N8" s="100" t="s">
        <v>896</v>
      </c>
      <c r="O8" s="1"/>
      <c r="P8" s="10"/>
      <c r="Q8" s="10"/>
      <c r="R8" s="98"/>
      <c r="S8" s="98"/>
      <c r="T8" s="160"/>
      <c r="U8" s="362">
        <f>[1]Phasing!D34</f>
        <v>6.7676767676767682E-2</v>
      </c>
      <c r="V8" s="362">
        <f>[1]Phasing!E34</f>
        <v>0.25656565656565655</v>
      </c>
      <c r="W8" s="362">
        <f>[1]Phasing!F34</f>
        <v>0.25454545454545452</v>
      </c>
      <c r="X8" s="362">
        <f>[1]Phasing!G34</f>
        <v>9.0909090909090912E-2</v>
      </c>
      <c r="Y8" s="362">
        <f>[1]Phasing!H34</f>
        <v>9.0909090909090912E-2</v>
      </c>
      <c r="Z8" s="361">
        <f>[1]Phasing!I34</f>
        <v>0.23939393939393938</v>
      </c>
      <c r="AA8" s="96" t="s">
        <v>1196</v>
      </c>
      <c r="AB8" s="1"/>
      <c r="AC8" s="1" t="s">
        <v>1190</v>
      </c>
      <c r="AD8" s="274" t="s">
        <v>241</v>
      </c>
      <c r="AE8" s="90"/>
      <c r="AF8" s="97" t="s">
        <v>242</v>
      </c>
      <c r="AG8" s="94" t="s">
        <v>880</v>
      </c>
      <c r="AH8" s="132"/>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288" t="b">
        <f>K8=SUM(AH8:BJ8)</f>
        <v>1</v>
      </c>
      <c r="BM8" s="356"/>
      <c r="BN8" s="360">
        <f t="shared" si="1"/>
        <v>0</v>
      </c>
      <c r="BO8" s="360">
        <f t="shared" si="2"/>
        <v>0</v>
      </c>
      <c r="BP8" s="360">
        <f t="shared" si="3"/>
        <v>0</v>
      </c>
      <c r="BQ8" s="360">
        <f t="shared" si="4"/>
        <v>0</v>
      </c>
      <c r="BR8" s="360">
        <f t="shared" si="5"/>
        <v>0</v>
      </c>
      <c r="BS8" s="360">
        <f t="shared" si="6"/>
        <v>0</v>
      </c>
      <c r="BT8" s="360">
        <f t="shared" si="7"/>
        <v>0</v>
      </c>
      <c r="BU8" s="360">
        <f t="shared" si="8"/>
        <v>0</v>
      </c>
      <c r="BV8" s="360">
        <f t="shared" si="9"/>
        <v>0</v>
      </c>
      <c r="BW8" s="360">
        <f t="shared" si="10"/>
        <v>0</v>
      </c>
      <c r="BX8" s="360">
        <f t="shared" si="11"/>
        <v>0</v>
      </c>
      <c r="BY8" s="360">
        <f t="shared" si="12"/>
        <v>0</v>
      </c>
      <c r="BZ8" s="360">
        <f t="shared" si="13"/>
        <v>0</v>
      </c>
      <c r="CA8" s="360">
        <f t="shared" si="14"/>
        <v>0</v>
      </c>
      <c r="CB8" s="360">
        <f t="shared" si="15"/>
        <v>0</v>
      </c>
      <c r="CC8" s="360">
        <f t="shared" si="16"/>
        <v>0</v>
      </c>
      <c r="CD8" s="360">
        <f t="shared" si="17"/>
        <v>0</v>
      </c>
      <c r="CE8" s="360">
        <f t="shared" si="18"/>
        <v>0</v>
      </c>
      <c r="CF8" s="360">
        <f t="shared" si="19"/>
        <v>0</v>
      </c>
      <c r="CG8" s="360">
        <f t="shared" si="20"/>
        <v>0</v>
      </c>
      <c r="CH8" s="360">
        <f t="shared" si="21"/>
        <v>0</v>
      </c>
      <c r="CI8" s="360">
        <f t="shared" si="22"/>
        <v>0</v>
      </c>
      <c r="CJ8" s="360">
        <f t="shared" si="23"/>
        <v>0</v>
      </c>
      <c r="CK8" s="360">
        <f t="shared" si="24"/>
        <v>0</v>
      </c>
      <c r="CL8" s="360">
        <f t="shared" si="25"/>
        <v>0</v>
      </c>
      <c r="CM8" s="360">
        <f t="shared" si="26"/>
        <v>0</v>
      </c>
      <c r="CN8" s="360">
        <f t="shared" si="27"/>
        <v>0</v>
      </c>
      <c r="CO8" s="360">
        <f t="shared" si="28"/>
        <v>0</v>
      </c>
      <c r="CP8" s="360">
        <f t="shared" si="29"/>
        <v>0</v>
      </c>
      <c r="CQ8" s="360">
        <f t="shared" si="30"/>
        <v>0</v>
      </c>
      <c r="CR8" s="360">
        <f t="shared" si="31"/>
        <v>0</v>
      </c>
      <c r="CS8" s="360">
        <f t="shared" si="32"/>
        <v>0</v>
      </c>
      <c r="CT8" s="360">
        <f t="shared" si="33"/>
        <v>0</v>
      </c>
      <c r="CU8" s="360">
        <f t="shared" si="34"/>
        <v>0</v>
      </c>
      <c r="CV8" s="360">
        <f t="shared" si="35"/>
        <v>0</v>
      </c>
      <c r="CW8" s="360">
        <f t="shared" si="36"/>
        <v>0</v>
      </c>
      <c r="CX8" s="360">
        <f t="shared" si="37"/>
        <v>0</v>
      </c>
      <c r="CY8" s="360">
        <f t="shared" si="38"/>
        <v>0</v>
      </c>
      <c r="CZ8" s="360">
        <f t="shared" si="39"/>
        <v>0</v>
      </c>
      <c r="DA8" s="360">
        <f t="shared" si="40"/>
        <v>0</v>
      </c>
      <c r="DB8" s="360">
        <f t="shared" si="41"/>
        <v>0</v>
      </c>
      <c r="DC8" s="360">
        <f t="shared" si="42"/>
        <v>0</v>
      </c>
      <c r="DD8" s="360">
        <f t="shared" si="43"/>
        <v>0</v>
      </c>
      <c r="DE8" s="360">
        <f t="shared" si="44"/>
        <v>0</v>
      </c>
      <c r="DF8" s="360">
        <f t="shared" si="45"/>
        <v>0</v>
      </c>
      <c r="DG8" s="360">
        <f t="shared" si="46"/>
        <v>0</v>
      </c>
      <c r="DH8" s="360">
        <f t="shared" si="47"/>
        <v>0</v>
      </c>
      <c r="DI8" s="360">
        <f t="shared" si="48"/>
        <v>0</v>
      </c>
    </row>
    <row r="9" spans="1:113" ht="14" x14ac:dyDescent="0.3">
      <c r="B9" s="356"/>
      <c r="G9" s="357">
        <f>SUM(G2:G8)</f>
        <v>577571310.69999993</v>
      </c>
      <c r="I9" s="357">
        <f>SUM(I2:I8)</f>
        <v>170000000</v>
      </c>
      <c r="J9" s="357">
        <f>SUM(J2:J8)</f>
        <v>407571310.70000005</v>
      </c>
      <c r="K9" s="357">
        <f>SUM(K2:K8)</f>
        <v>44993300</v>
      </c>
      <c r="M9" s="357">
        <f>SUM(M2:M8)</f>
        <v>32578010.699999996</v>
      </c>
      <c r="AE9" s="356"/>
      <c r="AG9" s="397" t="s">
        <v>15</v>
      </c>
      <c r="AH9" s="357">
        <f t="shared" ref="AH9:BJ9" si="49">SUM(AH2:AH8)</f>
        <v>1908112.8074639523</v>
      </c>
      <c r="AI9" s="357">
        <f t="shared" si="49"/>
        <v>6614791.0658750357</v>
      </c>
      <c r="AJ9" s="357">
        <f t="shared" si="49"/>
        <v>2671357.9304495337</v>
      </c>
      <c r="AK9" s="357">
        <f t="shared" si="49"/>
        <v>2053129.3808312127</v>
      </c>
      <c r="AL9" s="357">
        <f t="shared" si="49"/>
        <v>3386264.195646028</v>
      </c>
      <c r="AM9" s="357">
        <f t="shared" si="49"/>
        <v>21625278.484591462</v>
      </c>
      <c r="AN9" s="357">
        <f t="shared" si="49"/>
        <v>3816225.6149279047</v>
      </c>
      <c r="AO9" s="357">
        <f t="shared" si="49"/>
        <v>1653697.7664687589</v>
      </c>
      <c r="AP9" s="357">
        <f t="shared" si="49"/>
        <v>178090.52869663556</v>
      </c>
      <c r="AQ9" s="357">
        <f t="shared" si="49"/>
        <v>175546.37828668364</v>
      </c>
      <c r="AR9" s="357">
        <f t="shared" si="49"/>
        <v>106854.31721798134</v>
      </c>
      <c r="AS9" s="357">
        <f t="shared" si="49"/>
        <v>91589.414758269719</v>
      </c>
      <c r="AT9" s="357">
        <f t="shared" si="49"/>
        <v>89045.264348317782</v>
      </c>
      <c r="AU9" s="357">
        <f t="shared" si="49"/>
        <v>89045.264348317782</v>
      </c>
      <c r="AV9" s="357">
        <f t="shared" si="49"/>
        <v>89045.264348317782</v>
      </c>
      <c r="AW9" s="357">
        <f t="shared" si="49"/>
        <v>58515.459428894537</v>
      </c>
      <c r="AX9" s="357">
        <f t="shared" si="49"/>
        <v>50883.008199038726</v>
      </c>
      <c r="AY9" s="357">
        <f t="shared" si="49"/>
        <v>40706.406559230985</v>
      </c>
      <c r="AZ9" s="357">
        <f t="shared" si="49"/>
        <v>40706.406559230985</v>
      </c>
      <c r="BA9" s="357">
        <f t="shared" si="49"/>
        <v>38162.256149279048</v>
      </c>
      <c r="BB9" s="357">
        <f t="shared" si="49"/>
        <v>33073.955329375174</v>
      </c>
      <c r="BC9" s="357">
        <f t="shared" si="49"/>
        <v>30529.804919423241</v>
      </c>
      <c r="BD9" s="357">
        <f t="shared" si="49"/>
        <v>25441.504099519363</v>
      </c>
      <c r="BE9" s="357">
        <f t="shared" si="49"/>
        <v>25441.504099519363</v>
      </c>
      <c r="BF9" s="357">
        <f t="shared" si="49"/>
        <v>25441.504099519363</v>
      </c>
      <c r="BG9" s="357">
        <f t="shared" si="49"/>
        <v>25441.504099519363</v>
      </c>
      <c r="BH9" s="357">
        <f t="shared" si="49"/>
        <v>25441.504099519363</v>
      </c>
      <c r="BI9" s="357">
        <f t="shared" si="49"/>
        <v>25441.504099519363</v>
      </c>
      <c r="BJ9" s="357">
        <f t="shared" si="49"/>
        <v>0</v>
      </c>
      <c r="BM9" s="352" t="s">
        <v>15</v>
      </c>
      <c r="BN9" s="353">
        <f t="shared" ref="BN9:DI9" si="50">SUM(BN2:BN8)</f>
        <v>129134.90717180284</v>
      </c>
      <c r="BO9" s="353">
        <f t="shared" si="50"/>
        <v>489556.21524832712</v>
      </c>
      <c r="BP9" s="353">
        <f t="shared" si="50"/>
        <v>485701.44189991511</v>
      </c>
      <c r="BQ9" s="353">
        <f t="shared" si="50"/>
        <v>173464.80067854113</v>
      </c>
      <c r="BR9" s="353">
        <f t="shared" si="50"/>
        <v>173464.80067854113</v>
      </c>
      <c r="BS9" s="353">
        <f t="shared" si="50"/>
        <v>456790.64178682491</v>
      </c>
      <c r="BT9" s="353">
        <f t="shared" si="50"/>
        <v>447667.67819558328</v>
      </c>
      <c r="BU9" s="353">
        <f t="shared" si="50"/>
        <v>1697128.2128608676</v>
      </c>
      <c r="BV9" s="353">
        <f t="shared" si="50"/>
        <v>1683764.9985863725</v>
      </c>
      <c r="BW9" s="353">
        <f t="shared" si="50"/>
        <v>601344.64235227602</v>
      </c>
      <c r="BX9" s="353">
        <f t="shared" si="50"/>
        <v>601344.64235227602</v>
      </c>
      <c r="BY9" s="353">
        <f t="shared" si="50"/>
        <v>1583540.89152766</v>
      </c>
      <c r="BZ9" s="353">
        <f t="shared" si="50"/>
        <v>180788.87004052402</v>
      </c>
      <c r="CA9" s="353">
        <f t="shared" si="50"/>
        <v>685378.70134765806</v>
      </c>
      <c r="CB9" s="353">
        <f t="shared" si="50"/>
        <v>679982.0186598812</v>
      </c>
      <c r="CC9" s="353">
        <f t="shared" si="50"/>
        <v>242850.72094995761</v>
      </c>
      <c r="CD9" s="353">
        <f t="shared" si="50"/>
        <v>242850.72094995761</v>
      </c>
      <c r="CE9" s="353">
        <f t="shared" si="50"/>
        <v>639506.89850155497</v>
      </c>
      <c r="CF9" s="353">
        <f t="shared" si="50"/>
        <v>138949.16011685986</v>
      </c>
      <c r="CG9" s="353">
        <f t="shared" si="50"/>
        <v>526762.48760720005</v>
      </c>
      <c r="CH9" s="353">
        <f t="shared" si="50"/>
        <v>522614.75148430862</v>
      </c>
      <c r="CI9" s="353">
        <f t="shared" si="50"/>
        <v>186648.12553011026</v>
      </c>
      <c r="CJ9" s="353">
        <f t="shared" si="50"/>
        <v>186648.12553011026</v>
      </c>
      <c r="CK9" s="353">
        <f t="shared" si="50"/>
        <v>491506.73056262365</v>
      </c>
      <c r="CL9" s="353">
        <f t="shared" si="50"/>
        <v>229171.41526089283</v>
      </c>
      <c r="CM9" s="353">
        <f t="shared" si="50"/>
        <v>868799.09666069807</v>
      </c>
      <c r="CN9" s="353">
        <f t="shared" si="50"/>
        <v>861958.15889171616</v>
      </c>
      <c r="CO9" s="353">
        <f t="shared" si="50"/>
        <v>307842.19960418437</v>
      </c>
      <c r="CP9" s="353">
        <f t="shared" si="50"/>
        <v>307842.19960418437</v>
      </c>
      <c r="CQ9" s="353">
        <f t="shared" si="50"/>
        <v>810651.12562435213</v>
      </c>
      <c r="CR9" s="353">
        <f t="shared" si="50"/>
        <v>1463528.9479470991</v>
      </c>
      <c r="CS9" s="353">
        <f t="shared" si="50"/>
        <v>5548303.7728143744</v>
      </c>
      <c r="CT9" s="353">
        <f t="shared" si="50"/>
        <v>5504616.3415323719</v>
      </c>
      <c r="CU9" s="353">
        <f t="shared" si="50"/>
        <v>1965934.407690133</v>
      </c>
      <c r="CV9" s="353">
        <f t="shared" si="50"/>
        <v>1965934.407690133</v>
      </c>
      <c r="CW9" s="353">
        <f t="shared" si="50"/>
        <v>5176960.6069173496</v>
      </c>
      <c r="CX9" s="353">
        <f t="shared" si="50"/>
        <v>258269.81434360569</v>
      </c>
      <c r="CY9" s="353">
        <f t="shared" si="50"/>
        <v>979112.43049665424</v>
      </c>
      <c r="CZ9" s="353">
        <f t="shared" si="50"/>
        <v>971402.88379983022</v>
      </c>
      <c r="DA9" s="353">
        <f t="shared" si="50"/>
        <v>346929.60135708225</v>
      </c>
      <c r="DB9" s="353">
        <f t="shared" si="50"/>
        <v>346929.60135708225</v>
      </c>
      <c r="DC9" s="353">
        <f t="shared" si="50"/>
        <v>913581.28357364982</v>
      </c>
      <c r="DD9" s="353">
        <f t="shared" si="50"/>
        <v>111916.91954889582</v>
      </c>
      <c r="DE9" s="353">
        <f t="shared" si="50"/>
        <v>424282.0532152169</v>
      </c>
      <c r="DF9" s="353">
        <f t="shared" si="50"/>
        <v>420941.24964659312</v>
      </c>
      <c r="DG9" s="353">
        <f t="shared" si="50"/>
        <v>150336.160588069</v>
      </c>
      <c r="DH9" s="353">
        <f t="shared" si="50"/>
        <v>150336.160588069</v>
      </c>
      <c r="DI9" s="353">
        <f t="shared" si="50"/>
        <v>395885.22288191499</v>
      </c>
    </row>
    <row r="10" spans="1:113" ht="14" x14ac:dyDescent="0.3">
      <c r="B10" s="356"/>
      <c r="AE10" s="356"/>
      <c r="AG10" s="397"/>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row>
    <row r="11" spans="1:113" ht="14" x14ac:dyDescent="0.3">
      <c r="B11" s="356"/>
      <c r="AE11" s="356"/>
      <c r="AG11" s="397" t="s">
        <v>433</v>
      </c>
      <c r="AH11" s="355">
        <f t="shared" ref="AH11:BJ11" si="51">AH9*0.2</f>
        <v>381622.56149279047</v>
      </c>
      <c r="AI11" s="355">
        <f t="shared" si="51"/>
        <v>1322958.2131750071</v>
      </c>
      <c r="AJ11" s="355">
        <f t="shared" si="51"/>
        <v>534271.58608990675</v>
      </c>
      <c r="AK11" s="355">
        <f t="shared" si="51"/>
        <v>410625.87616624258</v>
      </c>
      <c r="AL11" s="355">
        <f t="shared" si="51"/>
        <v>677252.83912920568</v>
      </c>
      <c r="AM11" s="355">
        <f t="shared" si="51"/>
        <v>4325055.6969182929</v>
      </c>
      <c r="AN11" s="355">
        <f t="shared" si="51"/>
        <v>763245.12298558094</v>
      </c>
      <c r="AO11" s="355">
        <f t="shared" si="51"/>
        <v>330739.55329375179</v>
      </c>
      <c r="AP11" s="355">
        <f t="shared" si="51"/>
        <v>35618.105739327111</v>
      </c>
      <c r="AQ11" s="355">
        <f t="shared" si="51"/>
        <v>35109.27565733673</v>
      </c>
      <c r="AR11" s="355">
        <f t="shared" si="51"/>
        <v>21370.86344359627</v>
      </c>
      <c r="AS11" s="355">
        <f t="shared" si="51"/>
        <v>18317.882951653944</v>
      </c>
      <c r="AT11" s="355">
        <f t="shared" si="51"/>
        <v>17809.052869663556</v>
      </c>
      <c r="AU11" s="355">
        <f t="shared" si="51"/>
        <v>17809.052869663556</v>
      </c>
      <c r="AV11" s="355">
        <f t="shared" si="51"/>
        <v>17809.052869663556</v>
      </c>
      <c r="AW11" s="355">
        <f t="shared" si="51"/>
        <v>11703.091885778907</v>
      </c>
      <c r="AX11" s="355">
        <f t="shared" si="51"/>
        <v>10176.601639807746</v>
      </c>
      <c r="AY11" s="355">
        <f t="shared" si="51"/>
        <v>8141.2813118461972</v>
      </c>
      <c r="AZ11" s="355">
        <f t="shared" si="51"/>
        <v>8141.2813118461972</v>
      </c>
      <c r="BA11" s="355">
        <f t="shared" si="51"/>
        <v>7632.4512298558102</v>
      </c>
      <c r="BB11" s="355">
        <f t="shared" si="51"/>
        <v>6614.7910658750352</v>
      </c>
      <c r="BC11" s="355">
        <f t="shared" si="51"/>
        <v>6105.9609838846482</v>
      </c>
      <c r="BD11" s="355">
        <f t="shared" si="51"/>
        <v>5088.3008199038732</v>
      </c>
      <c r="BE11" s="355">
        <f t="shared" si="51"/>
        <v>5088.3008199038732</v>
      </c>
      <c r="BF11" s="355">
        <f t="shared" si="51"/>
        <v>5088.3008199038732</v>
      </c>
      <c r="BG11" s="355">
        <f t="shared" si="51"/>
        <v>5088.3008199038732</v>
      </c>
      <c r="BH11" s="355">
        <f t="shared" si="51"/>
        <v>5088.3008199038732</v>
      </c>
      <c r="BI11" s="355">
        <f t="shared" si="51"/>
        <v>5088.3008199038732</v>
      </c>
      <c r="BJ11" s="355">
        <f t="shared" si="51"/>
        <v>0</v>
      </c>
      <c r="BM11" s="352" t="s">
        <v>433</v>
      </c>
      <c r="BN11" s="355">
        <f t="shared" ref="BN11:DI11" si="52">BN9*0.2</f>
        <v>25826.981434360569</v>
      </c>
      <c r="BO11" s="355">
        <f t="shared" si="52"/>
        <v>97911.243049665427</v>
      </c>
      <c r="BP11" s="355">
        <f t="shared" si="52"/>
        <v>97140.288379983031</v>
      </c>
      <c r="BQ11" s="355">
        <f t="shared" si="52"/>
        <v>34692.960135708228</v>
      </c>
      <c r="BR11" s="355">
        <f t="shared" si="52"/>
        <v>34692.960135708228</v>
      </c>
      <c r="BS11" s="355">
        <f t="shared" si="52"/>
        <v>91358.128357364985</v>
      </c>
      <c r="BT11" s="355">
        <f t="shared" si="52"/>
        <v>89533.535639116657</v>
      </c>
      <c r="BU11" s="355">
        <f t="shared" si="52"/>
        <v>339425.64257217356</v>
      </c>
      <c r="BV11" s="355">
        <f t="shared" si="52"/>
        <v>336752.99971727451</v>
      </c>
      <c r="BW11" s="355">
        <f t="shared" si="52"/>
        <v>120268.92847045521</v>
      </c>
      <c r="BX11" s="355">
        <f t="shared" si="52"/>
        <v>120268.92847045521</v>
      </c>
      <c r="BY11" s="355">
        <f t="shared" si="52"/>
        <v>316708.17830553203</v>
      </c>
      <c r="BZ11" s="355">
        <f t="shared" si="52"/>
        <v>36157.774008104803</v>
      </c>
      <c r="CA11" s="355">
        <f t="shared" si="52"/>
        <v>137075.74026953161</v>
      </c>
      <c r="CB11" s="355">
        <f t="shared" si="52"/>
        <v>135996.40373197626</v>
      </c>
      <c r="CC11" s="355">
        <f t="shared" si="52"/>
        <v>48570.144189991523</v>
      </c>
      <c r="CD11" s="355">
        <f t="shared" si="52"/>
        <v>48570.144189991523</v>
      </c>
      <c r="CE11" s="355">
        <f t="shared" si="52"/>
        <v>127901.37970031099</v>
      </c>
      <c r="CF11" s="355">
        <f t="shared" si="52"/>
        <v>27789.832023371971</v>
      </c>
      <c r="CG11" s="355">
        <f t="shared" si="52"/>
        <v>105352.49752144002</v>
      </c>
      <c r="CH11" s="355">
        <f t="shared" si="52"/>
        <v>104522.95029686173</v>
      </c>
      <c r="CI11" s="355">
        <f t="shared" si="52"/>
        <v>37329.625106022053</v>
      </c>
      <c r="CJ11" s="355">
        <f t="shared" si="52"/>
        <v>37329.625106022053</v>
      </c>
      <c r="CK11" s="355">
        <f t="shared" si="52"/>
        <v>98301.346112524741</v>
      </c>
      <c r="CL11" s="355">
        <f t="shared" si="52"/>
        <v>45834.283052178565</v>
      </c>
      <c r="CM11" s="355">
        <f t="shared" si="52"/>
        <v>173759.81933213962</v>
      </c>
      <c r="CN11" s="355">
        <f t="shared" si="52"/>
        <v>172391.63177834323</v>
      </c>
      <c r="CO11" s="355">
        <f t="shared" si="52"/>
        <v>61568.439920836878</v>
      </c>
      <c r="CP11" s="355">
        <f t="shared" si="52"/>
        <v>61568.439920836878</v>
      </c>
      <c r="CQ11" s="355">
        <f t="shared" si="52"/>
        <v>162130.22512487043</v>
      </c>
      <c r="CR11" s="355">
        <f t="shared" si="52"/>
        <v>292705.78958941984</v>
      </c>
      <c r="CS11" s="355">
        <f t="shared" si="52"/>
        <v>1109660.754562875</v>
      </c>
      <c r="CT11" s="355">
        <f t="shared" si="52"/>
        <v>1100923.2683064744</v>
      </c>
      <c r="CU11" s="355">
        <f t="shared" si="52"/>
        <v>393186.88153802662</v>
      </c>
      <c r="CV11" s="355">
        <f t="shared" si="52"/>
        <v>393186.88153802662</v>
      </c>
      <c r="CW11" s="355">
        <f t="shared" si="52"/>
        <v>1035392.12138347</v>
      </c>
      <c r="CX11" s="355">
        <f t="shared" si="52"/>
        <v>51653.962868721137</v>
      </c>
      <c r="CY11" s="355">
        <f t="shared" si="52"/>
        <v>195822.48609933085</v>
      </c>
      <c r="CZ11" s="355">
        <f t="shared" si="52"/>
        <v>194280.57675996606</v>
      </c>
      <c r="DA11" s="355">
        <f t="shared" si="52"/>
        <v>69385.920271416457</v>
      </c>
      <c r="DB11" s="355">
        <f t="shared" si="52"/>
        <v>69385.920271416457</v>
      </c>
      <c r="DC11" s="355">
        <f t="shared" si="52"/>
        <v>182716.25671472997</v>
      </c>
      <c r="DD11" s="355">
        <f t="shared" si="52"/>
        <v>22383.383909779164</v>
      </c>
      <c r="DE11" s="355">
        <f t="shared" si="52"/>
        <v>84856.410643043389</v>
      </c>
      <c r="DF11" s="355">
        <f t="shared" si="52"/>
        <v>84188.249929318627</v>
      </c>
      <c r="DG11" s="355">
        <f t="shared" si="52"/>
        <v>30067.232117613803</v>
      </c>
      <c r="DH11" s="355">
        <f t="shared" si="52"/>
        <v>30067.232117613803</v>
      </c>
      <c r="DI11" s="355">
        <f t="shared" si="52"/>
        <v>79177.044576383007</v>
      </c>
    </row>
    <row r="12" spans="1:113" ht="14" x14ac:dyDescent="0.3">
      <c r="B12" s="356"/>
      <c r="AE12" s="356"/>
      <c r="AG12" s="397"/>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row>
    <row r="13" spans="1:113" thickBot="1" x14ac:dyDescent="0.35">
      <c r="B13" s="356"/>
      <c r="AE13" s="356"/>
      <c r="AG13" s="397" t="s">
        <v>434</v>
      </c>
      <c r="AH13" s="152">
        <f t="shared" ref="AH13:BJ13" si="53">SUM(AH9:AH11)</f>
        <v>2289735.3689567428</v>
      </c>
      <c r="AI13" s="152">
        <f t="shared" si="53"/>
        <v>7937749.2790500429</v>
      </c>
      <c r="AJ13" s="152">
        <f t="shared" si="53"/>
        <v>3205629.5165394405</v>
      </c>
      <c r="AK13" s="152">
        <f t="shared" si="53"/>
        <v>2463755.2569974554</v>
      </c>
      <c r="AL13" s="152">
        <f t="shared" si="53"/>
        <v>4063517.0347752338</v>
      </c>
      <c r="AM13" s="152">
        <f t="shared" si="53"/>
        <v>25950334.181509756</v>
      </c>
      <c r="AN13" s="152">
        <f t="shared" si="53"/>
        <v>4579470.7379134856</v>
      </c>
      <c r="AO13" s="152">
        <f t="shared" si="53"/>
        <v>1984437.3197625107</v>
      </c>
      <c r="AP13" s="152">
        <f t="shared" si="53"/>
        <v>213708.63443596268</v>
      </c>
      <c r="AQ13" s="152">
        <f t="shared" si="53"/>
        <v>210655.65394402036</v>
      </c>
      <c r="AR13" s="152">
        <f t="shared" si="53"/>
        <v>128225.18066157761</v>
      </c>
      <c r="AS13" s="152">
        <f t="shared" si="53"/>
        <v>109907.29770992366</v>
      </c>
      <c r="AT13" s="152">
        <f t="shared" si="53"/>
        <v>106854.31721798134</v>
      </c>
      <c r="AU13" s="152">
        <f t="shared" si="53"/>
        <v>106854.31721798134</v>
      </c>
      <c r="AV13" s="152">
        <f t="shared" si="53"/>
        <v>106854.31721798134</v>
      </c>
      <c r="AW13" s="152">
        <f t="shared" si="53"/>
        <v>70218.551314673445</v>
      </c>
      <c r="AX13" s="152">
        <f t="shared" si="53"/>
        <v>61059.609838846474</v>
      </c>
      <c r="AY13" s="152">
        <f t="shared" si="53"/>
        <v>48847.687871077185</v>
      </c>
      <c r="AZ13" s="152">
        <f t="shared" si="53"/>
        <v>48847.687871077185</v>
      </c>
      <c r="BA13" s="152">
        <f t="shared" si="53"/>
        <v>45794.707379134859</v>
      </c>
      <c r="BB13" s="152">
        <f t="shared" si="53"/>
        <v>39688.746395250208</v>
      </c>
      <c r="BC13" s="152">
        <f t="shared" si="53"/>
        <v>36635.765903307889</v>
      </c>
      <c r="BD13" s="152">
        <f t="shared" si="53"/>
        <v>30529.804919423237</v>
      </c>
      <c r="BE13" s="152">
        <f t="shared" si="53"/>
        <v>30529.804919423237</v>
      </c>
      <c r="BF13" s="152">
        <f t="shared" si="53"/>
        <v>30529.804919423237</v>
      </c>
      <c r="BG13" s="152">
        <f t="shared" si="53"/>
        <v>30529.804919423237</v>
      </c>
      <c r="BH13" s="152">
        <f t="shared" si="53"/>
        <v>30529.804919423237</v>
      </c>
      <c r="BI13" s="152">
        <f t="shared" si="53"/>
        <v>30529.804919423237</v>
      </c>
      <c r="BJ13" s="152">
        <f t="shared" si="53"/>
        <v>0</v>
      </c>
      <c r="BM13" s="352" t="s">
        <v>434</v>
      </c>
      <c r="BN13" s="110">
        <f>SUM(BN9:BN11)</f>
        <v>154961.88860616341</v>
      </c>
      <c r="BO13" s="110">
        <f t="shared" ref="BO13:DI13" si="54">SUM(BO9:BO11)</f>
        <v>587467.45829799259</v>
      </c>
      <c r="BP13" s="110">
        <f t="shared" si="54"/>
        <v>582841.73027989815</v>
      </c>
      <c r="BQ13" s="110">
        <f t="shared" si="54"/>
        <v>208157.76081424934</v>
      </c>
      <c r="BR13" s="110">
        <f t="shared" si="54"/>
        <v>208157.76081424934</v>
      </c>
      <c r="BS13" s="110">
        <f t="shared" si="54"/>
        <v>548148.77014418994</v>
      </c>
      <c r="BT13" s="110">
        <f t="shared" si="54"/>
        <v>537201.21383469994</v>
      </c>
      <c r="BU13" s="110">
        <f t="shared" si="54"/>
        <v>2036553.8554330412</v>
      </c>
      <c r="BV13" s="110">
        <f t="shared" si="54"/>
        <v>2020517.9983036469</v>
      </c>
      <c r="BW13" s="110">
        <f t="shared" si="54"/>
        <v>721613.57082273124</v>
      </c>
      <c r="BX13" s="110">
        <f t="shared" si="54"/>
        <v>721613.57082273124</v>
      </c>
      <c r="BY13" s="110">
        <f t="shared" si="54"/>
        <v>1900249.069833192</v>
      </c>
      <c r="BZ13" s="110">
        <f t="shared" si="54"/>
        <v>216946.64404862883</v>
      </c>
      <c r="CA13" s="110">
        <f t="shared" si="54"/>
        <v>822454.44161718967</v>
      </c>
      <c r="CB13" s="110">
        <f t="shared" si="54"/>
        <v>815978.42239185749</v>
      </c>
      <c r="CC13" s="110">
        <f t="shared" si="54"/>
        <v>291420.86513994914</v>
      </c>
      <c r="CD13" s="110">
        <f t="shared" si="54"/>
        <v>291420.86513994914</v>
      </c>
      <c r="CE13" s="110">
        <f t="shared" si="54"/>
        <v>767408.27820186596</v>
      </c>
      <c r="CF13" s="110">
        <f t="shared" si="54"/>
        <v>166738.99214023183</v>
      </c>
      <c r="CG13" s="110">
        <f t="shared" si="54"/>
        <v>632114.98512864008</v>
      </c>
      <c r="CH13" s="110">
        <f t="shared" si="54"/>
        <v>627137.70178117033</v>
      </c>
      <c r="CI13" s="110">
        <f t="shared" si="54"/>
        <v>223977.75063613232</v>
      </c>
      <c r="CJ13" s="110">
        <f t="shared" si="54"/>
        <v>223977.75063613232</v>
      </c>
      <c r="CK13" s="110">
        <f t="shared" si="54"/>
        <v>589808.07667514845</v>
      </c>
      <c r="CL13" s="110">
        <f t="shared" si="54"/>
        <v>275005.69831307139</v>
      </c>
      <c r="CM13" s="110">
        <f t="shared" si="54"/>
        <v>1042558.9159928376</v>
      </c>
      <c r="CN13" s="110">
        <f t="shared" si="54"/>
        <v>1034349.7906700594</v>
      </c>
      <c r="CO13" s="110">
        <f t="shared" si="54"/>
        <v>369410.63952502125</v>
      </c>
      <c r="CP13" s="110">
        <f t="shared" si="54"/>
        <v>369410.63952502125</v>
      </c>
      <c r="CQ13" s="110">
        <f t="shared" si="54"/>
        <v>972781.35074922256</v>
      </c>
      <c r="CR13" s="110">
        <f t="shared" si="54"/>
        <v>1756234.7375365188</v>
      </c>
      <c r="CS13" s="110">
        <f t="shared" si="54"/>
        <v>6657964.5273772497</v>
      </c>
      <c r="CT13" s="110">
        <f t="shared" si="54"/>
        <v>6605539.6098388461</v>
      </c>
      <c r="CU13" s="110">
        <f t="shared" si="54"/>
        <v>2359121.2892281595</v>
      </c>
      <c r="CV13" s="110">
        <f t="shared" si="54"/>
        <v>2359121.2892281595</v>
      </c>
      <c r="CW13" s="110">
        <f t="shared" si="54"/>
        <v>6212352.7283008192</v>
      </c>
      <c r="CX13" s="110">
        <f t="shared" si="54"/>
        <v>309923.77721232682</v>
      </c>
      <c r="CY13" s="110">
        <f t="shared" si="54"/>
        <v>1174934.9165959852</v>
      </c>
      <c r="CZ13" s="110">
        <f t="shared" si="54"/>
        <v>1165683.4605597963</v>
      </c>
      <c r="DA13" s="110">
        <f t="shared" si="54"/>
        <v>416315.52162849868</v>
      </c>
      <c r="DB13" s="110">
        <f t="shared" si="54"/>
        <v>416315.52162849868</v>
      </c>
      <c r="DC13" s="110">
        <f t="shared" si="54"/>
        <v>1096297.5402883799</v>
      </c>
      <c r="DD13" s="110">
        <f t="shared" si="54"/>
        <v>134300.30345867499</v>
      </c>
      <c r="DE13" s="110">
        <f t="shared" si="54"/>
        <v>509138.46385826031</v>
      </c>
      <c r="DF13" s="110">
        <f t="shared" si="54"/>
        <v>505129.49957591173</v>
      </c>
      <c r="DG13" s="110">
        <f t="shared" si="54"/>
        <v>180403.39270568281</v>
      </c>
      <c r="DH13" s="110">
        <f t="shared" si="54"/>
        <v>180403.39270568281</v>
      </c>
      <c r="DI13" s="110">
        <f t="shared" si="54"/>
        <v>475062.26745829801</v>
      </c>
    </row>
    <row r="14" spans="1:113" thickTop="1" x14ac:dyDescent="0.3">
      <c r="B14" s="356"/>
      <c r="AE14" s="356"/>
      <c r="AG14" s="397"/>
      <c r="BM14" s="356"/>
      <c r="BN14" s="348"/>
      <c r="BO14" s="348"/>
      <c r="BP14" s="348"/>
      <c r="BQ14" s="348"/>
      <c r="BR14" s="348"/>
      <c r="BS14" s="351">
        <f>SUM(BN13:BS13)</f>
        <v>2289735.3689567428</v>
      </c>
      <c r="BT14" s="348"/>
      <c r="BU14" s="348"/>
      <c r="BV14" s="348"/>
      <c r="BW14" s="348"/>
      <c r="BX14" s="348"/>
      <c r="BY14" s="351">
        <f>SUM(BT13:BY13)</f>
        <v>7937749.2790500438</v>
      </c>
      <c r="BZ14" s="348"/>
      <c r="CA14" s="348"/>
      <c r="CB14" s="348"/>
      <c r="CC14" s="348"/>
      <c r="CD14" s="348"/>
      <c r="CE14" s="351">
        <f>SUM(BZ13:CE13)</f>
        <v>3205629.5165394405</v>
      </c>
      <c r="CF14" s="348"/>
      <c r="CG14" s="348"/>
      <c r="CH14" s="348"/>
      <c r="CI14" s="348"/>
      <c r="CJ14" s="348"/>
      <c r="CK14" s="351">
        <f>SUM(CF13:CK13)</f>
        <v>2463755.2569974558</v>
      </c>
      <c r="CL14" s="348"/>
      <c r="CM14" s="348"/>
      <c r="CN14" s="348"/>
      <c r="CO14" s="348"/>
      <c r="CP14" s="348"/>
      <c r="CQ14" s="351">
        <f>SUM(CL13:CQ13)</f>
        <v>4063517.0347752338</v>
      </c>
      <c r="CR14" s="348"/>
      <c r="CS14" s="348"/>
      <c r="CT14" s="348"/>
      <c r="CU14" s="348"/>
      <c r="CV14" s="348"/>
      <c r="CW14" s="351">
        <f>SUM(CR13:CW13)</f>
        <v>25950334.181509756</v>
      </c>
      <c r="CX14" s="348"/>
      <c r="CY14" s="348"/>
      <c r="CZ14" s="348"/>
      <c r="DA14" s="348"/>
      <c r="DB14" s="348"/>
      <c r="DC14" s="351">
        <f>SUM(CX13:DC13)</f>
        <v>4579470.7379134856</v>
      </c>
      <c r="DD14" s="348"/>
      <c r="DE14" s="348"/>
      <c r="DF14" s="348"/>
      <c r="DG14" s="348"/>
      <c r="DH14" s="348"/>
      <c r="DI14" s="351">
        <f>SUM(DD13:DI13)</f>
        <v>1984437.3197625109</v>
      </c>
    </row>
    <row r="15" spans="1:113" ht="14" x14ac:dyDescent="0.3">
      <c r="B15" s="356"/>
      <c r="AE15" s="356"/>
      <c r="BM15" s="356"/>
      <c r="BN15" s="348"/>
      <c r="BO15" s="348"/>
      <c r="BP15" s="348"/>
      <c r="BQ15" s="348"/>
      <c r="BR15" s="348"/>
      <c r="BS15" s="350" t="b">
        <f>BS14=AH13</f>
        <v>1</v>
      </c>
      <c r="BT15" s="348"/>
      <c r="BU15" s="348"/>
      <c r="BV15" s="348"/>
      <c r="BW15" s="348"/>
      <c r="BX15" s="348"/>
      <c r="BY15" s="350" t="b">
        <f>BY14=AI13</f>
        <v>1</v>
      </c>
      <c r="BZ15" s="348"/>
      <c r="CA15" s="348"/>
      <c r="CB15" s="348"/>
      <c r="CC15" s="348"/>
      <c r="CD15" s="348"/>
      <c r="CE15" s="350" t="b">
        <f>CE14=AJ13</f>
        <v>1</v>
      </c>
      <c r="CF15" s="348"/>
      <c r="CG15" s="348"/>
      <c r="CH15" s="348"/>
      <c r="CI15" s="348"/>
      <c r="CJ15" s="348"/>
      <c r="CK15" s="350" t="b">
        <f>CK14=AK13</f>
        <v>1</v>
      </c>
      <c r="CL15" s="348"/>
      <c r="CM15" s="348"/>
      <c r="CN15" s="348"/>
      <c r="CO15" s="348"/>
      <c r="CP15" s="348"/>
      <c r="CQ15" s="350" t="b">
        <f>CQ14=AL13</f>
        <v>1</v>
      </c>
      <c r="CR15" s="348"/>
      <c r="CS15" s="348"/>
      <c r="CT15" s="348"/>
      <c r="CU15" s="348"/>
      <c r="CV15" s="348"/>
      <c r="CW15" s="350" t="b">
        <f>CW14=AM13</f>
        <v>1</v>
      </c>
      <c r="CX15" s="348"/>
      <c r="CY15" s="348"/>
      <c r="CZ15" s="348"/>
      <c r="DA15" s="348"/>
      <c r="DB15" s="348"/>
      <c r="DC15" s="350" t="b">
        <f>DC14=AN13</f>
        <v>1</v>
      </c>
      <c r="DD15" s="348"/>
      <c r="DE15" s="348"/>
      <c r="DF15" s="348"/>
      <c r="DG15" s="348"/>
      <c r="DH15" s="348"/>
      <c r="DI15" s="350" t="b">
        <f>DI14=AO13</f>
        <v>1</v>
      </c>
    </row>
    <row r="16" spans="1:113" x14ac:dyDescent="0.35">
      <c r="B16" s="356"/>
      <c r="AE16" s="356"/>
      <c r="AH16" s="278">
        <f>AH11/AH9</f>
        <v>0.2</v>
      </c>
      <c r="AI16" s="278">
        <f t="shared" ref="AI16:AN16" si="55">AI11/AI9</f>
        <v>0.2</v>
      </c>
      <c r="AJ16" s="278">
        <f t="shared" si="55"/>
        <v>0.2</v>
      </c>
      <c r="AK16" s="278">
        <f t="shared" si="55"/>
        <v>0.2</v>
      </c>
      <c r="AL16" s="278">
        <f t="shared" si="55"/>
        <v>0.2</v>
      </c>
      <c r="AM16" s="278">
        <f t="shared" si="55"/>
        <v>0.20000000000000004</v>
      </c>
      <c r="AN16" s="278">
        <f t="shared" si="55"/>
        <v>0.2</v>
      </c>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row>
    <row r="17" spans="2:113" x14ac:dyDescent="0.35">
      <c r="B17" s="356"/>
      <c r="AE17" s="356"/>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row>
    <row r="18" spans="2:113" x14ac:dyDescent="0.35">
      <c r="B18" s="356"/>
      <c r="AE18" s="356"/>
      <c r="BN18" s="348"/>
      <c r="BO18" s="348"/>
      <c r="BP18" s="348"/>
      <c r="BQ18" s="348"/>
      <c r="BR18" s="348"/>
      <c r="BS18" s="348"/>
      <c r="BT18" s="348"/>
      <c r="BU18" s="348"/>
      <c r="BV18" s="348"/>
      <c r="BW18" s="348"/>
      <c r="BX18" s="348"/>
      <c r="BY18" s="348"/>
      <c r="BZ18" s="348"/>
      <c r="CA18" s="348"/>
      <c r="CB18" s="348"/>
      <c r="CC18" s="348"/>
      <c r="CD18" s="348"/>
      <c r="CE18" s="348"/>
      <c r="CF18" s="348"/>
      <c r="CG18" s="348"/>
      <c r="CH18" s="348"/>
      <c r="CI18" s="348"/>
      <c r="CJ18" s="348"/>
      <c r="CK18" s="348"/>
      <c r="CL18" s="348"/>
      <c r="CM18" s="348"/>
      <c r="CN18" s="348"/>
      <c r="CO18" s="348"/>
      <c r="CP18" s="348"/>
      <c r="CQ18" s="348"/>
      <c r="CR18" s="348"/>
      <c r="CS18" s="348"/>
      <c r="CT18" s="348"/>
      <c r="CU18" s="348"/>
      <c r="CV18" s="348"/>
      <c r="CW18" s="348"/>
      <c r="CX18" s="348"/>
      <c r="CY18" s="348"/>
      <c r="CZ18" s="348"/>
      <c r="DA18" s="348"/>
      <c r="DB18" s="348"/>
      <c r="DC18" s="348"/>
      <c r="DD18" s="348"/>
      <c r="DE18" s="348"/>
      <c r="DF18" s="348"/>
      <c r="DG18" s="348"/>
      <c r="DH18" s="348"/>
      <c r="DI18" s="348"/>
    </row>
    <row r="19" spans="2:113" x14ac:dyDescent="0.35">
      <c r="B19" s="356"/>
      <c r="AE19" s="356"/>
      <c r="BM19" s="348"/>
    </row>
    <row r="20" spans="2:113" x14ac:dyDescent="0.35">
      <c r="B20" s="356"/>
      <c r="AE20" s="356"/>
      <c r="BM20" s="348"/>
    </row>
    <row r="21" spans="2:113" x14ac:dyDescent="0.35">
      <c r="B21" s="356"/>
      <c r="AE21" s="356"/>
      <c r="BM21" s="348"/>
    </row>
    <row r="22" spans="2:113" x14ac:dyDescent="0.35">
      <c r="B22" s="356"/>
      <c r="AE22" s="356"/>
      <c r="BM22" s="348"/>
    </row>
    <row r="23" spans="2:113" x14ac:dyDescent="0.35">
      <c r="B23" s="356"/>
      <c r="AE23" s="356"/>
      <c r="BM23" s="348"/>
    </row>
    <row r="24" spans="2:113" x14ac:dyDescent="0.35">
      <c r="B24" s="356"/>
      <c r="AE24" s="356"/>
      <c r="BM24" s="348"/>
    </row>
    <row r="25" spans="2:113" x14ac:dyDescent="0.35">
      <c r="B25" s="356"/>
      <c r="AE25" s="356"/>
      <c r="BM25" s="348"/>
    </row>
    <row r="26" spans="2:113" x14ac:dyDescent="0.35">
      <c r="B26" s="356"/>
      <c r="AE26" s="356"/>
      <c r="BM26" s="348"/>
    </row>
    <row r="27" spans="2:113" x14ac:dyDescent="0.35">
      <c r="B27" s="356"/>
      <c r="AE27" s="356"/>
      <c r="BM27" s="348"/>
    </row>
    <row r="28" spans="2:113" x14ac:dyDescent="0.35">
      <c r="B28" s="356"/>
      <c r="AE28" s="356"/>
      <c r="BM28" s="348"/>
    </row>
    <row r="29" spans="2:113" x14ac:dyDescent="0.35">
      <c r="B29" s="356"/>
      <c r="AE29" s="356"/>
      <c r="BM29" s="348"/>
    </row>
    <row r="30" spans="2:113" x14ac:dyDescent="0.35">
      <c r="B30" s="356"/>
      <c r="AE30" s="356"/>
      <c r="BM30" s="348"/>
    </row>
    <row r="31" spans="2:113" x14ac:dyDescent="0.35">
      <c r="B31" s="356"/>
      <c r="AE31" s="356"/>
      <c r="BM31" s="348"/>
    </row>
    <row r="32" spans="2:113" x14ac:dyDescent="0.35">
      <c r="B32" s="356"/>
      <c r="AE32" s="356"/>
      <c r="BM32" s="348"/>
    </row>
    <row r="33" spans="2:31" x14ac:dyDescent="0.35">
      <c r="B33" s="356"/>
      <c r="AE33" s="356"/>
    </row>
    <row r="34" spans="2:31" x14ac:dyDescent="0.35">
      <c r="B34" s="356"/>
      <c r="AE34" s="356"/>
    </row>
    <row r="35" spans="2:31" x14ac:dyDescent="0.35">
      <c r="B35" s="356"/>
      <c r="AE35" s="356"/>
    </row>
    <row r="36" spans="2:31" x14ac:dyDescent="0.35">
      <c r="B36" s="356"/>
      <c r="AE36" s="356"/>
    </row>
    <row r="37" spans="2:31" x14ac:dyDescent="0.35">
      <c r="B37" s="356"/>
      <c r="AE37" s="356"/>
    </row>
    <row r="38" spans="2:31" x14ac:dyDescent="0.35">
      <c r="B38" s="356"/>
      <c r="AE38" s="356"/>
    </row>
    <row r="39" spans="2:31" x14ac:dyDescent="0.35">
      <c r="B39" s="356"/>
      <c r="AE39" s="356"/>
    </row>
    <row r="40" spans="2:31" x14ac:dyDescent="0.35">
      <c r="B40" s="356"/>
      <c r="AE40" s="356"/>
    </row>
    <row r="41" spans="2:31" x14ac:dyDescent="0.35">
      <c r="B41" s="356"/>
      <c r="AE41" s="356"/>
    </row>
    <row r="42" spans="2:31" x14ac:dyDescent="0.35">
      <c r="B42" s="356"/>
      <c r="AE42" s="356"/>
    </row>
    <row r="43" spans="2:31" x14ac:dyDescent="0.35">
      <c r="B43" s="356"/>
    </row>
    <row r="44" spans="2:31" x14ac:dyDescent="0.35">
      <c r="B44" s="356"/>
    </row>
    <row r="45" spans="2:31" x14ac:dyDescent="0.35">
      <c r="B45" s="356"/>
    </row>
    <row r="46" spans="2:31" x14ac:dyDescent="0.35">
      <c r="B46" s="356"/>
    </row>
    <row r="47" spans="2:31" x14ac:dyDescent="0.35">
      <c r="B47" s="356"/>
    </row>
    <row r="48" spans="2:31" x14ac:dyDescent="0.35">
      <c r="B48" s="356"/>
    </row>
    <row r="49" spans="2:2" x14ac:dyDescent="0.35">
      <c r="B49" s="356"/>
    </row>
  </sheetData>
  <mergeCells count="8">
    <mergeCell ref="CX1:DC1"/>
    <mergeCell ref="DD1:DI1"/>
    <mergeCell ref="BN1:BS1"/>
    <mergeCell ref="BT1:BY1"/>
    <mergeCell ref="BZ1:CE1"/>
    <mergeCell ref="CF1:CK1"/>
    <mergeCell ref="CL1:CQ1"/>
    <mergeCell ref="CR1:CW1"/>
  </mergeCells>
  <conditionalFormatting sqref="D2:D8">
    <cfRule type="containsText" dxfId="388" priority="19" operator="containsText" text="Critical">
      <formula>NOT(ISERROR(SEARCH("Critical",D2)))</formula>
    </cfRule>
    <cfRule type="containsText" dxfId="387" priority="20" operator="containsText" text="Essential">
      <formula>NOT(ISERROR(SEARCH("Essential",D2)))</formula>
    </cfRule>
    <cfRule type="containsText" dxfId="386" priority="21" operator="containsText" text="Desirable">
      <formula>NOT(ISERROR(SEARCH("Desirable",D2)))</formula>
    </cfRule>
  </conditionalFormatting>
  <conditionalFormatting sqref="N4">
    <cfRule type="containsText" dxfId="378" priority="1" operator="containsText" text="20+">
      <formula>NOT(ISERROR(SEARCH("20+",N4)))</formula>
    </cfRule>
    <cfRule type="containsText" dxfId="377" priority="2" operator="containsText" text="unknown">
      <formula>NOT(ISERROR(SEARCH("unknown",N4)))</formula>
    </cfRule>
    <cfRule type="containsText" dxfId="376" priority="3" operator="containsText" text="15-20 years">
      <formula>NOT(ISERROR(SEARCH("15-20 years",N4)))</formula>
    </cfRule>
    <cfRule type="containsText" dxfId="375" priority="4" operator="containsText" text="10-15 years">
      <formula>NOT(ISERROR(SEARCH("10-15 years",N4)))</formula>
    </cfRule>
    <cfRule type="containsText" dxfId="374" priority="5" operator="containsText" text="5-10 years">
      <formula>NOT(ISERROR(SEARCH("5-10 years",N4)))</formula>
    </cfRule>
    <cfRule type="containsText" dxfId="373" priority="6" operator="containsText" text="0-20 years">
      <formula>NOT(ISERROR(SEARCH("0-20 years",N4)))</formula>
    </cfRule>
    <cfRule type="containsText" dxfId="372" priority="7" operator="containsText" text="0-5 years">
      <formula>NOT(ISERROR(SEARCH("0-5 years",N4)))</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8" operator="containsText" text="Critical" id="{ACDF83CF-019D-4CCD-AA8B-782A89E3762E}">
            <xm:f>NOT(ISERROR(SEARCH("Critical",'K:\Projects\HGGT0003 - HGGT IDP Update 2021-22\[20190414_HGGT_IDP_2019_Schedule.xlsx]Utilities'!#REF!)))</xm:f>
            <x14:dxf>
              <font>
                <color theme="0"/>
              </font>
              <fill>
                <patternFill>
                  <bgColor rgb="FFFF0000"/>
                </patternFill>
              </fill>
            </x14:dxf>
          </x14:cfRule>
          <x14:cfRule type="containsText" priority="9" operator="containsText" text="Essential" id="{49939D39-CD46-41EE-A3FC-E0CEEE6EF273}">
            <xm:f>NOT(ISERROR(SEARCH("Essential",'K:\Projects\HGGT0003 - HGGT IDP Update 2021-22\[20190414_HGGT_IDP_2019_Schedule.xlsx]Utilities'!#REF!)))</xm:f>
            <x14:dxf>
              <font>
                <color theme="0"/>
              </font>
              <fill>
                <patternFill>
                  <bgColor rgb="FFFFC000"/>
                </patternFill>
              </fill>
            </x14:dxf>
          </x14:cfRule>
          <x14:cfRule type="containsText" priority="10" operator="containsText" text="Desirable" id="{A0177BA8-DD6E-440F-855E-7CBA39874ABA}">
            <xm:f>NOT(ISERROR(SEARCH("Desirable",'K:\Projects\HGGT0003 - HGGT IDP Update 2021-22\[20190414_HGGT_IDP_2019_Schedule.xlsx]Utilities'!#REF!)))</xm:f>
            <x14:dxf>
              <font>
                <color theme="0"/>
              </font>
              <fill>
                <patternFill>
                  <bgColor rgb="FF92D050"/>
                </patternFill>
              </fill>
            </x14:dxf>
          </x14:cfRule>
          <x14:cfRule type="containsText" priority="11" operator="containsText" text="Critical" id="{344B8E4B-606D-4483-A3EF-9FFB41E771E9}">
            <xm:f>NOT(ISERROR(SEARCH("Critical",'K:\Projects\HGGT0003 - HGGT IDP Update 2021-22\[20190414_HGGT_IDP_2019_Schedule.xlsx]Utilities'!#REF!)))</xm:f>
            <x14:dxf>
              <fill>
                <patternFill>
                  <bgColor rgb="FFFF0000"/>
                </patternFill>
              </fill>
            </x14:dxf>
          </x14:cfRule>
          <xm:sqref>D1</xm:sqref>
        </x14:conditionalFormatting>
        <x14:conditionalFormatting xmlns:xm="http://schemas.microsoft.com/office/excel/2006/main">
          <x14:cfRule type="containsText" priority="12" operator="containsText" text="20+" id="{92A26FC1-CBB3-49A2-8861-6A6BF074A98D}">
            <xm:f>NOT(ISERROR(SEARCH("20+",'K:\Projects\HGGT0003 - HGGT IDP Update 2021-22\[20190414_HGGT_IDP_2019_Schedule.xlsx]Utilities'!#REF!)))</xm:f>
            <x14:dxf>
              <fill>
                <patternFill>
                  <bgColor theme="3" tint="0.59996337778862885"/>
                </patternFill>
              </fill>
            </x14:dxf>
          </x14:cfRule>
          <x14:cfRule type="containsText" priority="13" operator="containsText" text="unknown" id="{8B129376-8561-4D55-9357-FDF913CCD2DC}">
            <xm:f>NOT(ISERROR(SEARCH("unknown",'K:\Projects\HGGT0003 - HGGT IDP Update 2021-22\[20190414_HGGT_IDP_2019_Schedule.xlsx]Utilities'!#REF!)))</xm:f>
            <x14:dxf>
              <fill>
                <patternFill>
                  <bgColor theme="3" tint="0.79998168889431442"/>
                </patternFill>
              </fill>
            </x14:dxf>
          </x14:cfRule>
          <x14:cfRule type="containsText" priority="14" operator="containsText" text="15-20 years" id="{8464CBD4-94C4-4DEF-8474-CAA69AE07108}">
            <xm:f>NOT(ISERROR(SEARCH("15-20 years",'K:\Projects\HGGT0003 - HGGT IDP Update 2021-22\[20190414_HGGT_IDP_2019_Schedule.xlsx]Utilities'!#REF!)))</xm:f>
            <x14:dxf>
              <fill>
                <patternFill>
                  <bgColor theme="3" tint="0.39994506668294322"/>
                </patternFill>
              </fill>
            </x14:dxf>
          </x14:cfRule>
          <x14:cfRule type="containsText" priority="15" operator="containsText" text="10-15 years" id="{AFB19836-D53D-4B15-A759-6D3BB293FA5D}">
            <xm:f>NOT(ISERROR(SEARCH("10-15 years",'K:\Projects\HGGT0003 - HGGT IDP Update 2021-22\[20190414_HGGT_IDP_2019_Schedule.xlsx]Utilities'!#REF!)))</xm:f>
            <x14:dxf>
              <fill>
                <patternFill>
                  <bgColor theme="4" tint="-0.24994659260841701"/>
                </patternFill>
              </fill>
            </x14:dxf>
          </x14:cfRule>
          <x14:cfRule type="containsText" priority="16" operator="containsText" text="5-10 years" id="{36D09224-90D6-4120-A311-067EC4AC78BC}">
            <xm:f>NOT(ISERROR(SEARCH("5-10 years",'K:\Projects\HGGT0003 - HGGT IDP Update 2021-22\[20190414_HGGT_IDP_2019_Schedule.xlsx]Utilities'!#REF!)))</xm:f>
            <x14:dxf>
              <fill>
                <patternFill>
                  <bgColor theme="4" tint="0.39994506668294322"/>
                </patternFill>
              </fill>
            </x14:dxf>
          </x14:cfRule>
          <x14:cfRule type="containsText" priority="17" operator="containsText" text="0-20 years" id="{40E037C9-2304-451C-A622-3F7F45351729}">
            <xm:f>NOT(ISERROR(SEARCH("0-20 years",'K:\Projects\HGGT0003 - HGGT IDP Update 2021-22\[20190414_HGGT_IDP_2019_Schedule.xlsx]Utilities'!#REF!)))</xm:f>
            <x14:dxf>
              <fill>
                <patternFill>
                  <bgColor theme="4" tint="0.59996337778862885"/>
                </patternFill>
              </fill>
            </x14:dxf>
          </x14:cfRule>
          <x14:cfRule type="containsText" priority="18" operator="containsText" text="0-5 years" id="{B0206C52-0B07-4315-81AD-2F7AA37AD0B9}">
            <xm:f>NOT(ISERROR(SEARCH("0-5 years",'K:\Projects\HGGT0003 - HGGT IDP Update 2021-22\[20190414_HGGT_IDP_2019_Schedule.xlsx]Utilities'!#REF!)))</xm:f>
            <x14:dxf>
              <fill>
                <patternFill>
                  <bgColor theme="4" tint="0.79998168889431442"/>
                </patternFill>
              </fill>
            </x14:dxf>
          </x14:cfRule>
          <xm:sqref>G1 N1:AA1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pageSetUpPr autoPageBreaks="0"/>
  </sheetPr>
  <dimension ref="A1:BM86"/>
  <sheetViews>
    <sheetView showGridLines="0" view="pageBreakPreview" zoomScale="60" zoomScaleNormal="60" workbookViewId="0">
      <pane ySplit="4" topLeftCell="A5" activePane="bottomLeft" state="frozen"/>
      <selection activeCell="R4" sqref="R4:R5"/>
      <selection pane="bottomLeft" activeCell="B1" sqref="B1:AF1"/>
    </sheetView>
  </sheetViews>
  <sheetFormatPr defaultColWidth="8.90625" defaultRowHeight="16.5" x14ac:dyDescent="0.35"/>
  <cols>
    <col min="1" max="1" width="3.90625" style="758" customWidth="1"/>
    <col min="2" max="2" width="10.90625" style="761" customWidth="1"/>
    <col min="3" max="3" width="45.90625" style="761" customWidth="1"/>
    <col min="4" max="4" width="20.90625" style="761" customWidth="1"/>
    <col min="5" max="5" width="12.90625" style="793" customWidth="1"/>
    <col min="6" max="14" width="7.90625" style="793" customWidth="1"/>
    <col min="15" max="15" width="20.90625" style="793" customWidth="1"/>
    <col min="16" max="16" width="30.90625" style="761" customWidth="1"/>
    <col min="17" max="18" width="20.90625" style="793" customWidth="1"/>
    <col min="19" max="19" width="30.90625" style="761" customWidth="1"/>
    <col min="20" max="20" width="20.90625" style="761" customWidth="1"/>
    <col min="21" max="21" width="20.90625" style="793" customWidth="1"/>
    <col min="22" max="22" width="30.90625" style="793" customWidth="1"/>
    <col min="23" max="24" width="20.90625" style="793" customWidth="1"/>
    <col min="25" max="25" width="30.90625" style="793" customWidth="1"/>
    <col min="26" max="26" width="20.90625" style="761" customWidth="1"/>
    <col min="27" max="28" width="20.90625" style="793" customWidth="1"/>
    <col min="29" max="29" width="30.90625" style="793" customWidth="1"/>
    <col min="30" max="30" width="20.90625" style="761" customWidth="1"/>
    <col min="31" max="31" width="20.90625" style="793" customWidth="1"/>
    <col min="32" max="32" width="30.90625" style="761" customWidth="1"/>
    <col min="33" max="34" width="3.90625" style="758" customWidth="1"/>
    <col min="35" max="35" width="10.90625" style="761" customWidth="1"/>
    <col min="36" max="36" width="45.90625" style="761" customWidth="1"/>
    <col min="37" max="37" width="20.90625" style="761" customWidth="1"/>
    <col min="38" max="38" width="20.90625" style="1071" customWidth="1"/>
    <col min="39" max="57" width="20.90625" style="761" customWidth="1"/>
    <col min="58" max="58" width="20.90625" style="1071" customWidth="1"/>
    <col min="59" max="60" width="20.90625" style="761" customWidth="1"/>
    <col min="61" max="61" width="3.90625" style="758" customWidth="1"/>
    <col min="62" max="62" width="25.90625" style="761" customWidth="1"/>
    <col min="63" max="64" width="50.90625" style="761" customWidth="1"/>
    <col min="65" max="16384" width="8.90625" style="761"/>
  </cols>
  <sheetData>
    <row r="1" spans="1:65" ht="39.9" customHeight="1" x14ac:dyDescent="0.35">
      <c r="A1" s="757"/>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59"/>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59"/>
      <c r="BJ1" s="760"/>
      <c r="BK1" s="760"/>
      <c r="BL1" s="760"/>
      <c r="BM1" s="760"/>
    </row>
    <row r="2" spans="1:65" s="758" customFormat="1" ht="15" customHeight="1" thickBot="1" x14ac:dyDescent="0.4">
      <c r="B2" s="1072" t="s">
        <v>449</v>
      </c>
      <c r="C2" s="1072" t="s">
        <v>450</v>
      </c>
      <c r="D2" s="1072" t="s">
        <v>451</v>
      </c>
      <c r="E2" s="1072" t="s">
        <v>452</v>
      </c>
      <c r="F2" s="1467" t="s">
        <v>453</v>
      </c>
      <c r="G2" s="1468"/>
      <c r="H2" s="1468"/>
      <c r="I2" s="1468"/>
      <c r="J2" s="1468"/>
      <c r="K2" s="1468"/>
      <c r="L2" s="1468"/>
      <c r="M2" s="1468"/>
      <c r="N2" s="1469"/>
      <c r="O2" s="1072" t="s">
        <v>454</v>
      </c>
      <c r="P2" s="1072" t="s">
        <v>455</v>
      </c>
      <c r="Q2" s="1072" t="s">
        <v>456</v>
      </c>
      <c r="R2" s="1072"/>
      <c r="S2" s="1072" t="s">
        <v>457</v>
      </c>
      <c r="T2" s="1072" t="s">
        <v>458</v>
      </c>
      <c r="U2" s="1072" t="s">
        <v>459</v>
      </c>
      <c r="V2" s="1072" t="s">
        <v>460</v>
      </c>
      <c r="W2" s="1072" t="s">
        <v>461</v>
      </c>
      <c r="X2" s="1072" t="s">
        <v>242</v>
      </c>
      <c r="Y2" s="1072" t="s">
        <v>462</v>
      </c>
      <c r="Z2" s="1072" t="s">
        <v>463</v>
      </c>
      <c r="AA2" s="1072" t="s">
        <v>464</v>
      </c>
      <c r="AB2" s="1072" t="s">
        <v>465</v>
      </c>
      <c r="AC2" s="1072" t="s">
        <v>466</v>
      </c>
      <c r="AD2" s="1072" t="s">
        <v>467</v>
      </c>
      <c r="AE2" s="1072" t="s">
        <v>468</v>
      </c>
      <c r="AF2" s="1072" t="s">
        <v>469</v>
      </c>
      <c r="AG2" s="1072"/>
      <c r="AH2" s="1072"/>
      <c r="AI2" s="1072" t="s">
        <v>449</v>
      </c>
      <c r="AJ2" s="1072" t="s">
        <v>450</v>
      </c>
      <c r="AK2" s="1072" t="s">
        <v>471</v>
      </c>
      <c r="AL2" s="1073" t="s">
        <v>472</v>
      </c>
      <c r="AM2" s="1072" t="s">
        <v>473</v>
      </c>
      <c r="AN2" s="1072" t="s">
        <v>474</v>
      </c>
      <c r="AO2" s="1072" t="s">
        <v>475</v>
      </c>
      <c r="AP2" s="1072" t="s">
        <v>476</v>
      </c>
      <c r="AQ2" s="1072" t="s">
        <v>477</v>
      </c>
      <c r="AR2" s="1072" t="s">
        <v>478</v>
      </c>
      <c r="AS2" s="1072" t="s">
        <v>479</v>
      </c>
      <c r="AT2" s="1072" t="s">
        <v>480</v>
      </c>
      <c r="AU2" s="1072" t="s">
        <v>481</v>
      </c>
      <c r="AV2" s="1072" t="s">
        <v>482</v>
      </c>
      <c r="AW2" s="1072" t="s">
        <v>483</v>
      </c>
      <c r="AX2" s="1072" t="s">
        <v>484</v>
      </c>
      <c r="AY2" s="1072" t="s">
        <v>485</v>
      </c>
      <c r="AZ2" s="1072" t="s">
        <v>486</v>
      </c>
      <c r="BA2" s="1072" t="s">
        <v>487</v>
      </c>
      <c r="BB2" s="1072" t="s">
        <v>488</v>
      </c>
      <c r="BC2" s="1072" t="s">
        <v>489</v>
      </c>
      <c r="BD2" s="1072" t="s">
        <v>490</v>
      </c>
      <c r="BE2" s="1072" t="s">
        <v>491</v>
      </c>
      <c r="BF2" s="1073" t="s">
        <v>492</v>
      </c>
      <c r="BG2" s="1072" t="s">
        <v>493</v>
      </c>
      <c r="BH2" s="1072" t="s">
        <v>494</v>
      </c>
    </row>
    <row r="3" spans="1:65" ht="99.9" customHeight="1" thickTop="1" x14ac:dyDescent="0.35">
      <c r="B3" s="1392" t="s">
        <v>2231</v>
      </c>
      <c r="C3" s="1120"/>
      <c r="D3" s="1385" t="s">
        <v>495</v>
      </c>
      <c r="E3" s="1394" t="s">
        <v>1197</v>
      </c>
      <c r="F3" s="1396" t="s">
        <v>219</v>
      </c>
      <c r="G3" s="1396"/>
      <c r="H3" s="1396"/>
      <c r="I3" s="1396"/>
      <c r="J3" s="1396"/>
      <c r="K3" s="1396"/>
      <c r="L3" s="1396"/>
      <c r="M3" s="1396"/>
      <c r="N3" s="1396"/>
      <c r="O3" s="1385" t="s">
        <v>214</v>
      </c>
      <c r="P3" s="1400" t="s">
        <v>497</v>
      </c>
      <c r="Q3" s="1385" t="s">
        <v>498</v>
      </c>
      <c r="R3" s="1446" t="s">
        <v>2233</v>
      </c>
      <c r="S3" s="1391" t="s">
        <v>1198</v>
      </c>
      <c r="T3" s="1492" t="s">
        <v>501</v>
      </c>
      <c r="U3" s="1390" t="s">
        <v>2</v>
      </c>
      <c r="V3" s="1391" t="s">
        <v>500</v>
      </c>
      <c r="W3" s="1494" t="s">
        <v>502</v>
      </c>
      <c r="X3" s="1387" t="s">
        <v>503</v>
      </c>
      <c r="Y3" s="1497" t="s">
        <v>504</v>
      </c>
      <c r="Z3" s="1492" t="s">
        <v>505</v>
      </c>
      <c r="AA3" s="1494" t="s">
        <v>506</v>
      </c>
      <c r="AB3" s="1387" t="s">
        <v>1011</v>
      </c>
      <c r="AC3" s="1497" t="s">
        <v>504</v>
      </c>
      <c r="AD3" s="1492" t="s">
        <v>505</v>
      </c>
      <c r="AE3" s="1494" t="s">
        <v>508</v>
      </c>
      <c r="AF3" s="1490" t="s">
        <v>509</v>
      </c>
      <c r="AI3" s="1389" t="s">
        <v>2231</v>
      </c>
      <c r="AJ3" s="1121"/>
      <c r="AK3" s="772" t="s">
        <v>2234</v>
      </c>
      <c r="AL3" s="773" t="s">
        <v>2235</v>
      </c>
      <c r="AM3" s="773" t="s">
        <v>2236</v>
      </c>
      <c r="AN3" s="773" t="s">
        <v>2237</v>
      </c>
      <c r="AO3" s="773" t="s">
        <v>2238</v>
      </c>
      <c r="AP3" s="773" t="s">
        <v>2239</v>
      </c>
      <c r="AQ3" s="774" t="s">
        <v>2240</v>
      </c>
      <c r="AR3" s="775" t="s">
        <v>2241</v>
      </c>
      <c r="AS3" s="773" t="s">
        <v>2242</v>
      </c>
      <c r="AT3" s="773" t="s">
        <v>2243</v>
      </c>
      <c r="AU3" s="773" t="s">
        <v>2244</v>
      </c>
      <c r="AV3" s="773" t="s">
        <v>2245</v>
      </c>
      <c r="AW3" s="773" t="s">
        <v>2246</v>
      </c>
      <c r="AX3" s="773" t="s">
        <v>2247</v>
      </c>
      <c r="AY3" s="773" t="s">
        <v>2248</v>
      </c>
      <c r="AZ3" s="773" t="s">
        <v>2249</v>
      </c>
      <c r="BA3" s="773" t="s">
        <v>2250</v>
      </c>
      <c r="BB3" s="773" t="s">
        <v>2251</v>
      </c>
      <c r="BC3" s="773" t="s">
        <v>2252</v>
      </c>
      <c r="BD3" s="773" t="s">
        <v>2253</v>
      </c>
      <c r="BE3" s="774" t="s">
        <v>2254</v>
      </c>
      <c r="BF3" s="775" t="s">
        <v>2255</v>
      </c>
      <c r="BG3" s="1398" t="s">
        <v>41</v>
      </c>
      <c r="BH3" s="1382" t="s">
        <v>42</v>
      </c>
      <c r="BI3" s="880"/>
      <c r="BJ3" s="777"/>
      <c r="BK3" s="778"/>
      <c r="BL3" s="778"/>
    </row>
    <row r="4" spans="1:65" s="793" customFormat="1" ht="131.4" customHeight="1" x14ac:dyDescent="0.35">
      <c r="A4" s="758"/>
      <c r="B4" s="1393"/>
      <c r="C4" s="1122" t="s">
        <v>1199</v>
      </c>
      <c r="D4" s="1286"/>
      <c r="E4" s="1395"/>
      <c r="F4" s="333" t="s">
        <v>512</v>
      </c>
      <c r="G4" s="333" t="s">
        <v>513</v>
      </c>
      <c r="H4" s="333" t="s">
        <v>514</v>
      </c>
      <c r="I4" s="333" t="s">
        <v>515</v>
      </c>
      <c r="J4" s="333" t="s">
        <v>516</v>
      </c>
      <c r="K4" s="333" t="s">
        <v>517</v>
      </c>
      <c r="L4" s="333" t="s">
        <v>518</v>
      </c>
      <c r="M4" s="333" t="s">
        <v>519</v>
      </c>
      <c r="N4" s="333" t="s">
        <v>520</v>
      </c>
      <c r="O4" s="1397"/>
      <c r="P4" s="1401"/>
      <c r="Q4" s="1286"/>
      <c r="R4" s="1447"/>
      <c r="S4" s="1241"/>
      <c r="T4" s="1493"/>
      <c r="U4" s="1320"/>
      <c r="V4" s="1241"/>
      <c r="W4" s="1249"/>
      <c r="X4" s="1284"/>
      <c r="Y4" s="1498"/>
      <c r="Z4" s="1493"/>
      <c r="AA4" s="1249"/>
      <c r="AB4" s="1284"/>
      <c r="AC4" s="1498"/>
      <c r="AD4" s="1493"/>
      <c r="AE4" s="1249"/>
      <c r="AF4" s="1483"/>
      <c r="AG4" s="758"/>
      <c r="AH4" s="758"/>
      <c r="AI4" s="1299"/>
      <c r="AJ4" s="1123" t="s">
        <v>1199</v>
      </c>
      <c r="AK4" s="784">
        <v>8500</v>
      </c>
      <c r="AL4" s="785">
        <v>1500</v>
      </c>
      <c r="AM4" s="785">
        <v>2600</v>
      </c>
      <c r="AN4" s="786">
        <v>750</v>
      </c>
      <c r="AO4" s="786" t="s">
        <v>48</v>
      </c>
      <c r="AP4" s="785">
        <v>2100</v>
      </c>
      <c r="AQ4" s="787">
        <v>1050</v>
      </c>
      <c r="AR4" s="788">
        <v>550</v>
      </c>
      <c r="AS4" s="786">
        <v>70</v>
      </c>
      <c r="AT4" s="786">
        <v>30</v>
      </c>
      <c r="AU4" s="786">
        <v>35</v>
      </c>
      <c r="AV4" s="786">
        <v>35</v>
      </c>
      <c r="AW4" s="786">
        <v>20</v>
      </c>
      <c r="AX4" s="786">
        <v>16</v>
      </c>
      <c r="AY4" s="786">
        <v>15</v>
      </c>
      <c r="AZ4" s="786">
        <v>13</v>
      </c>
      <c r="BA4" s="786">
        <v>10</v>
      </c>
      <c r="BB4" s="786">
        <v>10</v>
      </c>
      <c r="BC4" s="786">
        <v>10</v>
      </c>
      <c r="BD4" s="786">
        <v>10</v>
      </c>
      <c r="BE4" s="789">
        <v>10</v>
      </c>
      <c r="BF4" s="790">
        <v>2120</v>
      </c>
      <c r="BG4" s="1399"/>
      <c r="BH4" s="1383"/>
      <c r="BI4" s="880"/>
      <c r="BJ4" s="791"/>
      <c r="BK4" s="792"/>
      <c r="BL4" s="792"/>
    </row>
    <row r="5" spans="1:65" ht="17.25" customHeight="1" x14ac:dyDescent="0.35">
      <c r="B5" s="795"/>
      <c r="C5" s="796" t="s">
        <v>521</v>
      </c>
      <c r="D5" s="302"/>
      <c r="E5" s="303"/>
      <c r="F5" s="303"/>
      <c r="G5" s="303"/>
      <c r="H5" s="303"/>
      <c r="I5" s="303"/>
      <c r="J5" s="303"/>
      <c r="K5" s="303"/>
      <c r="L5" s="303"/>
      <c r="M5" s="303"/>
      <c r="N5" s="307"/>
      <c r="O5" s="303"/>
      <c r="P5" s="302"/>
      <c r="Q5" s="305"/>
      <c r="R5" s="305"/>
      <c r="S5" s="306"/>
      <c r="T5" s="335"/>
      <c r="U5" s="305"/>
      <c r="V5" s="305"/>
      <c r="W5" s="305"/>
      <c r="X5" s="305"/>
      <c r="Y5" s="307"/>
      <c r="Z5" s="335"/>
      <c r="AA5" s="305"/>
      <c r="AB5" s="305"/>
      <c r="AC5" s="307"/>
      <c r="AD5" s="335"/>
      <c r="AE5" s="305"/>
      <c r="AF5" s="1075"/>
      <c r="AI5" s="800"/>
      <c r="AJ5" s="801" t="s">
        <v>521</v>
      </c>
      <c r="AK5" s="802"/>
      <c r="AL5" s="803"/>
      <c r="AM5" s="804"/>
      <c r="AN5" s="803"/>
      <c r="AO5" s="803"/>
      <c r="AP5" s="803"/>
      <c r="AQ5" s="804"/>
      <c r="AR5" s="805"/>
      <c r="AS5" s="803"/>
      <c r="AT5" s="803"/>
      <c r="AU5" s="803"/>
      <c r="AV5" s="803"/>
      <c r="AW5" s="803"/>
      <c r="AX5" s="803"/>
      <c r="AY5" s="803"/>
      <c r="AZ5" s="803"/>
      <c r="BA5" s="803"/>
      <c r="BB5" s="803"/>
      <c r="BC5" s="803"/>
      <c r="BD5" s="803"/>
      <c r="BE5" s="804"/>
      <c r="BF5" s="805"/>
      <c r="BG5" s="302"/>
      <c r="BH5" s="570"/>
      <c r="BJ5" s="823"/>
      <c r="BK5" s="806"/>
      <c r="BL5" s="807"/>
    </row>
    <row r="6" spans="1:65" ht="120" customHeight="1" x14ac:dyDescent="0.35">
      <c r="A6" s="1459">
        <v>1</v>
      </c>
      <c r="B6" s="1418" t="s">
        <v>1200</v>
      </c>
      <c r="C6" s="1420" t="s">
        <v>1201</v>
      </c>
      <c r="D6" s="1422"/>
      <c r="E6" s="1374" t="s">
        <v>524</v>
      </c>
      <c r="F6" s="808"/>
      <c r="G6" s="809"/>
      <c r="H6" s="809"/>
      <c r="I6" s="809"/>
      <c r="J6" s="810"/>
      <c r="K6" s="809"/>
      <c r="L6" s="809"/>
      <c r="M6" s="809"/>
      <c r="N6" s="811"/>
      <c r="O6" s="1422" t="s">
        <v>525</v>
      </c>
      <c r="P6" s="1422" t="s">
        <v>526</v>
      </c>
      <c r="Q6" s="324" t="s">
        <v>527</v>
      </c>
      <c r="R6" s="324"/>
      <c r="S6" s="1424" t="s">
        <v>528</v>
      </c>
      <c r="T6" s="1495"/>
      <c r="U6" s="324"/>
      <c r="V6" s="1424"/>
      <c r="W6" s="324"/>
      <c r="X6" s="569" t="s">
        <v>527</v>
      </c>
      <c r="Y6" s="1424" t="s">
        <v>528</v>
      </c>
      <c r="Z6" s="1495"/>
      <c r="AA6" s="324"/>
      <c r="AB6" s="569" t="s">
        <v>527</v>
      </c>
      <c r="AC6" s="1424" t="s">
        <v>528</v>
      </c>
      <c r="AD6" s="1495"/>
      <c r="AE6" s="324"/>
      <c r="AF6" s="1465"/>
      <c r="AG6" s="1309">
        <v>1</v>
      </c>
      <c r="AH6" s="1275">
        <v>1</v>
      </c>
      <c r="AI6" s="1430" t="s">
        <v>1200</v>
      </c>
      <c r="AJ6" s="1428" t="s">
        <v>1201</v>
      </c>
      <c r="AK6" s="695" t="s">
        <v>527</v>
      </c>
      <c r="AL6" s="569" t="s">
        <v>527</v>
      </c>
      <c r="AM6" s="569" t="s">
        <v>527</v>
      </c>
      <c r="AN6" s="569" t="s">
        <v>527</v>
      </c>
      <c r="AO6" s="569" t="s">
        <v>527</v>
      </c>
      <c r="AP6" s="569" t="s">
        <v>527</v>
      </c>
      <c r="AQ6" s="643" t="s">
        <v>527</v>
      </c>
      <c r="AR6" s="589" t="s">
        <v>527</v>
      </c>
      <c r="AS6" s="569" t="s">
        <v>527</v>
      </c>
      <c r="AT6" s="569" t="s">
        <v>527</v>
      </c>
      <c r="AU6" s="569" t="s">
        <v>527</v>
      </c>
      <c r="AV6" s="569" t="s">
        <v>527</v>
      </c>
      <c r="AW6" s="569" t="s">
        <v>527</v>
      </c>
      <c r="AX6" s="569" t="s">
        <v>527</v>
      </c>
      <c r="AY6" s="569" t="s">
        <v>527</v>
      </c>
      <c r="AZ6" s="569" t="s">
        <v>527</v>
      </c>
      <c r="BA6" s="569" t="s">
        <v>527</v>
      </c>
      <c r="BB6" s="569" t="s">
        <v>527</v>
      </c>
      <c r="BC6" s="569" t="s">
        <v>527</v>
      </c>
      <c r="BD6" s="569" t="s">
        <v>527</v>
      </c>
      <c r="BE6" s="643" t="s">
        <v>527</v>
      </c>
      <c r="BF6" s="589" t="s">
        <v>527</v>
      </c>
      <c r="BG6" s="569" t="s">
        <v>527</v>
      </c>
      <c r="BH6" s="815"/>
      <c r="BI6" s="1432">
        <v>1</v>
      </c>
      <c r="BJ6" s="823"/>
      <c r="BK6" s="1414"/>
      <c r="BL6" s="1316"/>
    </row>
    <row r="7" spans="1:65" ht="120" customHeight="1" x14ac:dyDescent="0.35">
      <c r="A7" s="1460"/>
      <c r="B7" s="1419"/>
      <c r="C7" s="1421"/>
      <c r="D7" s="1423"/>
      <c r="E7" s="1373"/>
      <c r="F7" s="1415"/>
      <c r="G7" s="1416"/>
      <c r="H7" s="1416"/>
      <c r="I7" s="1416"/>
      <c r="J7" s="1416"/>
      <c r="K7" s="1416"/>
      <c r="L7" s="1416"/>
      <c r="M7" s="1416"/>
      <c r="N7" s="1417"/>
      <c r="O7" s="1423"/>
      <c r="P7" s="1423"/>
      <c r="Q7" s="456"/>
      <c r="R7" s="456"/>
      <c r="S7" s="1425"/>
      <c r="T7" s="1496"/>
      <c r="U7" s="326"/>
      <c r="V7" s="1425"/>
      <c r="W7" s="456"/>
      <c r="X7" s="564"/>
      <c r="Y7" s="1425"/>
      <c r="Z7" s="1496"/>
      <c r="AA7" s="323"/>
      <c r="AB7" s="564"/>
      <c r="AC7" s="1425"/>
      <c r="AD7" s="1496"/>
      <c r="AE7" s="323"/>
      <c r="AF7" s="1466"/>
      <c r="AG7" s="1310"/>
      <c r="AH7" s="1276"/>
      <c r="AI7" s="1431"/>
      <c r="AJ7" s="1429"/>
      <c r="AK7" s="696"/>
      <c r="AL7" s="564"/>
      <c r="AM7" s="564"/>
      <c r="AN7" s="564"/>
      <c r="AO7" s="564"/>
      <c r="AP7" s="564"/>
      <c r="AQ7" s="697"/>
      <c r="AR7" s="585"/>
      <c r="AS7" s="663"/>
      <c r="AT7" s="663"/>
      <c r="AU7" s="663"/>
      <c r="AV7" s="663"/>
      <c r="AW7" s="663"/>
      <c r="AX7" s="663"/>
      <c r="AY7" s="663"/>
      <c r="AZ7" s="663"/>
      <c r="BA7" s="663"/>
      <c r="BB7" s="663"/>
      <c r="BC7" s="663"/>
      <c r="BD7" s="663"/>
      <c r="BE7" s="711"/>
      <c r="BF7" s="585"/>
      <c r="BG7" s="663"/>
      <c r="BH7" s="817"/>
      <c r="BI7" s="1433"/>
      <c r="BJ7" s="823"/>
      <c r="BK7" s="1414"/>
      <c r="BL7" s="1317"/>
    </row>
    <row r="8" spans="1:65" ht="17.25" customHeight="1" x14ac:dyDescent="0.35">
      <c r="A8" s="821"/>
      <c r="B8" s="795"/>
      <c r="C8" s="302"/>
      <c r="D8" s="302"/>
      <c r="E8" s="303"/>
      <c r="F8" s="303"/>
      <c r="G8" s="303"/>
      <c r="H8" s="303"/>
      <c r="I8" s="303"/>
      <c r="J8" s="303"/>
      <c r="K8" s="303"/>
      <c r="L8" s="303"/>
      <c r="M8" s="303"/>
      <c r="N8" s="307"/>
      <c r="O8" s="303"/>
      <c r="P8" s="302"/>
      <c r="Q8" s="305"/>
      <c r="R8" s="305"/>
      <c r="S8" s="306"/>
      <c r="T8" s="335"/>
      <c r="U8" s="305"/>
      <c r="V8" s="305"/>
      <c r="W8" s="305"/>
      <c r="X8" s="305"/>
      <c r="Y8" s="453"/>
      <c r="Z8" s="335"/>
      <c r="AA8" s="305"/>
      <c r="AB8" s="305"/>
      <c r="AC8" s="453"/>
      <c r="AD8" s="335"/>
      <c r="AE8" s="305"/>
      <c r="AF8" s="1075"/>
      <c r="AG8" s="821"/>
      <c r="AH8" s="821"/>
      <c r="AI8" s="800"/>
      <c r="AJ8" s="570"/>
      <c r="AK8" s="802"/>
      <c r="AL8" s="803"/>
      <c r="AM8" s="804"/>
      <c r="AN8" s="803"/>
      <c r="AO8" s="803"/>
      <c r="AP8" s="803"/>
      <c r="AQ8" s="804"/>
      <c r="AR8" s="805"/>
      <c r="AS8" s="803"/>
      <c r="AT8" s="803"/>
      <c r="AU8" s="803"/>
      <c r="AV8" s="803"/>
      <c r="AW8" s="803"/>
      <c r="AX8" s="803"/>
      <c r="AY8" s="803"/>
      <c r="AZ8" s="803"/>
      <c r="BA8" s="803"/>
      <c r="BB8" s="803"/>
      <c r="BC8" s="803"/>
      <c r="BD8" s="803"/>
      <c r="BE8" s="804"/>
      <c r="BF8" s="805"/>
      <c r="BG8" s="302"/>
      <c r="BH8" s="570"/>
      <c r="BI8" s="821"/>
      <c r="BJ8" s="823"/>
      <c r="BK8" s="807"/>
      <c r="BL8" s="807"/>
    </row>
    <row r="9" spans="1:65" ht="120" customHeight="1" x14ac:dyDescent="0.35">
      <c r="A9" s="1459">
        <v>2</v>
      </c>
      <c r="B9" s="1358" t="s">
        <v>1202</v>
      </c>
      <c r="C9" s="1281" t="s">
        <v>1203</v>
      </c>
      <c r="D9" s="1281" t="s">
        <v>1204</v>
      </c>
      <c r="E9" s="1470"/>
      <c r="F9" s="851"/>
      <c r="G9" s="1082"/>
      <c r="H9" s="1082"/>
      <c r="I9" s="825" t="s">
        <v>1205</v>
      </c>
      <c r="J9" s="942"/>
      <c r="K9" s="826"/>
      <c r="L9" s="826"/>
      <c r="M9" s="826"/>
      <c r="N9" s="828"/>
      <c r="O9" s="1281" t="s">
        <v>1206</v>
      </c>
      <c r="P9" s="1281" t="s">
        <v>1207</v>
      </c>
      <c r="Q9" s="324" t="s">
        <v>1208</v>
      </c>
      <c r="R9" s="551" t="s">
        <v>2211</v>
      </c>
      <c r="S9" s="1279" t="s">
        <v>1209</v>
      </c>
      <c r="T9" s="1306" t="s">
        <v>1210</v>
      </c>
      <c r="U9" s="325" t="s">
        <v>1211</v>
      </c>
      <c r="V9" s="1268" t="s">
        <v>1212</v>
      </c>
      <c r="W9" s="450"/>
      <c r="X9" s="569" t="s">
        <v>1208</v>
      </c>
      <c r="Y9" s="1279" t="s">
        <v>2288</v>
      </c>
      <c r="Z9" s="1306"/>
      <c r="AA9" s="329"/>
      <c r="AB9" s="727"/>
      <c r="AC9" s="1281"/>
      <c r="AD9" s="1306"/>
      <c r="AE9" s="329"/>
      <c r="AF9" s="1472" t="s">
        <v>1213</v>
      </c>
      <c r="AG9" s="1309">
        <v>2</v>
      </c>
      <c r="AH9" s="1275">
        <v>2</v>
      </c>
      <c r="AI9" s="1271" t="s">
        <v>1202</v>
      </c>
      <c r="AJ9" s="1293" t="s">
        <v>1203</v>
      </c>
      <c r="AK9" s="727" t="s">
        <v>1214</v>
      </c>
      <c r="AL9" s="727" t="s">
        <v>1214</v>
      </c>
      <c r="AM9" s="727" t="s">
        <v>1214</v>
      </c>
      <c r="AN9" s="727" t="s">
        <v>1214</v>
      </c>
      <c r="AO9" s="493"/>
      <c r="AP9" s="727" t="s">
        <v>1214</v>
      </c>
      <c r="AQ9" s="727" t="s">
        <v>1214</v>
      </c>
      <c r="AR9" s="727" t="s">
        <v>1214</v>
      </c>
      <c r="AS9" s="727" t="s">
        <v>1214</v>
      </c>
      <c r="AT9" s="727" t="s">
        <v>1214</v>
      </c>
      <c r="AU9" s="727" t="s">
        <v>1214</v>
      </c>
      <c r="AV9" s="727" t="s">
        <v>1214</v>
      </c>
      <c r="AW9" s="727" t="s">
        <v>1214</v>
      </c>
      <c r="AX9" s="727" t="s">
        <v>1214</v>
      </c>
      <c r="AY9" s="727" t="s">
        <v>1214</v>
      </c>
      <c r="AZ9" s="727" t="s">
        <v>1214</v>
      </c>
      <c r="BA9" s="727" t="s">
        <v>1214</v>
      </c>
      <c r="BB9" s="727" t="s">
        <v>1214</v>
      </c>
      <c r="BC9" s="727" t="s">
        <v>1214</v>
      </c>
      <c r="BD9" s="727" t="s">
        <v>1214</v>
      </c>
      <c r="BE9" s="727" t="s">
        <v>1214</v>
      </c>
      <c r="BF9" s="727" t="s">
        <v>1214</v>
      </c>
      <c r="BG9" s="727" t="s">
        <v>1214</v>
      </c>
      <c r="BH9" s="727" t="s">
        <v>1214</v>
      </c>
      <c r="BI9" s="1432">
        <v>2</v>
      </c>
      <c r="BJ9" s="823"/>
      <c r="BK9" s="1316"/>
      <c r="BL9" s="1323"/>
    </row>
    <row r="10" spans="1:65" ht="174" customHeight="1" x14ac:dyDescent="0.35">
      <c r="A10" s="1460"/>
      <c r="B10" s="1359"/>
      <c r="C10" s="1282"/>
      <c r="D10" s="1282"/>
      <c r="E10" s="1471"/>
      <c r="F10" s="1313" t="s">
        <v>1215</v>
      </c>
      <c r="G10" s="1314"/>
      <c r="H10" s="1314"/>
      <c r="I10" s="1314"/>
      <c r="J10" s="1314"/>
      <c r="K10" s="1314"/>
      <c r="L10" s="1314"/>
      <c r="M10" s="1314"/>
      <c r="N10" s="1315"/>
      <c r="O10" s="1282"/>
      <c r="P10" s="1282"/>
      <c r="Q10" s="465">
        <v>32412214</v>
      </c>
      <c r="R10" s="1124">
        <v>33183933</v>
      </c>
      <c r="S10" s="1308"/>
      <c r="T10" s="1307"/>
      <c r="U10" s="330"/>
      <c r="V10" s="1270"/>
      <c r="W10" s="486">
        <f>Q10</f>
        <v>32412214</v>
      </c>
      <c r="X10" s="564"/>
      <c r="Y10" s="1308"/>
      <c r="Z10" s="1307"/>
      <c r="AA10" s="477"/>
      <c r="AB10" s="906"/>
      <c r="AC10" s="1282"/>
      <c r="AD10" s="1307"/>
      <c r="AE10" s="328"/>
      <c r="AF10" s="1473"/>
      <c r="AG10" s="1310"/>
      <c r="AH10" s="1276"/>
      <c r="AI10" s="1272"/>
      <c r="AJ10" s="1295"/>
      <c r="AK10" s="696"/>
      <c r="AL10" s="564"/>
      <c r="AM10" s="697"/>
      <c r="AN10" s="564"/>
      <c r="AO10" s="477"/>
      <c r="AP10" s="697"/>
      <c r="AQ10" s="697"/>
      <c r="AR10" s="599"/>
      <c r="AS10" s="906"/>
      <c r="AT10" s="906"/>
      <c r="AU10" s="906"/>
      <c r="AV10" s="906"/>
      <c r="AW10" s="906"/>
      <c r="AX10" s="906"/>
      <c r="AY10" s="906"/>
      <c r="AZ10" s="906"/>
      <c r="BA10" s="906"/>
      <c r="BB10" s="906"/>
      <c r="BC10" s="906"/>
      <c r="BD10" s="906"/>
      <c r="BE10" s="909"/>
      <c r="BF10" s="908"/>
      <c r="BG10" s="906"/>
      <c r="BH10" s="972"/>
      <c r="BI10" s="1433"/>
      <c r="BJ10" s="823"/>
      <c r="BK10" s="1317"/>
      <c r="BL10" s="1324"/>
    </row>
    <row r="11" spans="1:65" ht="120" customHeight="1" x14ac:dyDescent="0.35">
      <c r="A11" s="1459">
        <v>3</v>
      </c>
      <c r="B11" s="1358" t="s">
        <v>1216</v>
      </c>
      <c r="C11" s="1281" t="s">
        <v>1217</v>
      </c>
      <c r="D11" s="1281" t="s">
        <v>1204</v>
      </c>
      <c r="E11" s="1470"/>
      <c r="F11" s="851"/>
      <c r="G11" s="826"/>
      <c r="H11" s="826"/>
      <c r="I11" s="826"/>
      <c r="J11" s="826"/>
      <c r="K11" s="826"/>
      <c r="L11" s="826"/>
      <c r="M11" s="826"/>
      <c r="N11" s="828"/>
      <c r="O11" s="1281" t="s">
        <v>1218</v>
      </c>
      <c r="P11" s="1281" t="s">
        <v>1219</v>
      </c>
      <c r="Q11" s="455"/>
      <c r="R11" s="551" t="s">
        <v>2211</v>
      </c>
      <c r="S11" s="1268" t="s">
        <v>1220</v>
      </c>
      <c r="T11" s="1306" t="s">
        <v>1210</v>
      </c>
      <c r="U11" s="329"/>
      <c r="V11" s="1268"/>
      <c r="W11" s="450"/>
      <c r="X11" s="563" t="s">
        <v>1221</v>
      </c>
      <c r="Y11" s="1279" t="s">
        <v>1222</v>
      </c>
      <c r="Z11" s="1306" t="s">
        <v>1223</v>
      </c>
      <c r="AA11" s="489"/>
      <c r="AB11" s="727" t="s">
        <v>1224</v>
      </c>
      <c r="AC11" s="1279"/>
      <c r="AD11" s="1306"/>
      <c r="AE11" s="329"/>
      <c r="AF11" s="1457"/>
      <c r="AG11" s="1309">
        <v>3</v>
      </c>
      <c r="AH11" s="1275">
        <v>3</v>
      </c>
      <c r="AI11" s="1271" t="s">
        <v>1216</v>
      </c>
      <c r="AJ11" s="1293" t="s">
        <v>1217</v>
      </c>
      <c r="AK11" s="600" t="s">
        <v>1225</v>
      </c>
      <c r="AL11" s="569" t="s">
        <v>1225</v>
      </c>
      <c r="AM11" s="569" t="s">
        <v>1225</v>
      </c>
      <c r="AN11" s="569" t="s">
        <v>1225</v>
      </c>
      <c r="AO11" s="1087"/>
      <c r="AP11" s="569" t="s">
        <v>1225</v>
      </c>
      <c r="AQ11" s="643" t="s">
        <v>1225</v>
      </c>
      <c r="AR11" s="589" t="s">
        <v>1225</v>
      </c>
      <c r="AS11" s="727" t="s">
        <v>1226</v>
      </c>
      <c r="AT11" s="727" t="s">
        <v>1226</v>
      </c>
      <c r="AU11" s="727" t="s">
        <v>1226</v>
      </c>
      <c r="AV11" s="727" t="s">
        <v>1226</v>
      </c>
      <c r="AW11" s="727" t="s">
        <v>1226</v>
      </c>
      <c r="AX11" s="727" t="s">
        <v>1226</v>
      </c>
      <c r="AY11" s="727" t="s">
        <v>1226</v>
      </c>
      <c r="AZ11" s="727" t="s">
        <v>1226</v>
      </c>
      <c r="BA11" s="727" t="s">
        <v>1226</v>
      </c>
      <c r="BB11" s="727" t="s">
        <v>1226</v>
      </c>
      <c r="BC11" s="727" t="s">
        <v>1226</v>
      </c>
      <c r="BD11" s="727" t="s">
        <v>1226</v>
      </c>
      <c r="BE11" s="727" t="s">
        <v>1226</v>
      </c>
      <c r="BF11" s="834" t="s">
        <v>1227</v>
      </c>
      <c r="BG11" s="727" t="s">
        <v>1226</v>
      </c>
      <c r="BH11" s="733" t="s">
        <v>1226</v>
      </c>
      <c r="BI11" s="1432">
        <v>3</v>
      </c>
      <c r="BJ11" s="823"/>
      <c r="BK11" s="1316"/>
      <c r="BL11" s="1323"/>
    </row>
    <row r="12" spans="1:65" ht="120" customHeight="1" x14ac:dyDescent="0.35">
      <c r="A12" s="1460"/>
      <c r="B12" s="1359"/>
      <c r="C12" s="1282"/>
      <c r="D12" s="1282"/>
      <c r="E12" s="1471"/>
      <c r="F12" s="1313" t="s">
        <v>1228</v>
      </c>
      <c r="G12" s="1314"/>
      <c r="H12" s="1314"/>
      <c r="I12" s="1314"/>
      <c r="J12" s="1314"/>
      <c r="K12" s="1314"/>
      <c r="L12" s="1314"/>
      <c r="M12" s="1314"/>
      <c r="N12" s="1315"/>
      <c r="O12" s="1282"/>
      <c r="P12" s="1282"/>
      <c r="Q12" s="465">
        <v>11355590</v>
      </c>
      <c r="R12" s="465">
        <v>11625961</v>
      </c>
      <c r="S12" s="1270"/>
      <c r="T12" s="1307"/>
      <c r="U12" s="328"/>
      <c r="V12" s="1270"/>
      <c r="W12" s="486">
        <f>Q12</f>
        <v>11355590</v>
      </c>
      <c r="X12" s="564">
        <f>W12</f>
        <v>11355590</v>
      </c>
      <c r="Y12" s="1308"/>
      <c r="Z12" s="1307"/>
      <c r="AA12" s="583"/>
      <c r="AB12" s="906"/>
      <c r="AC12" s="1308"/>
      <c r="AD12" s="1307"/>
      <c r="AE12" s="328"/>
      <c r="AF12" s="1458"/>
      <c r="AG12" s="1310"/>
      <c r="AH12" s="1276"/>
      <c r="AI12" s="1272"/>
      <c r="AJ12" s="1295"/>
      <c r="AK12" s="696"/>
      <c r="AL12" s="564"/>
      <c r="AM12" s="697">
        <f>X12*AM4/(AK4+AL4+AM4+AN4+AP4+AQ4+AR4)</f>
        <v>1731644.2228739003</v>
      </c>
      <c r="AN12" s="564">
        <f>X12*AN4/(AK4+AL4+AM4+AN4+AP4+AQ4+AR4)</f>
        <v>499512.75659824046</v>
      </c>
      <c r="AO12" s="1089"/>
      <c r="AP12" s="697">
        <f>X12*AP4/(AK4+AL4+AM4+AN4+AP4+AQ4+AR4)</f>
        <v>1398635.7184750733</v>
      </c>
      <c r="AQ12" s="697">
        <f>X12*AQ4/(AK4+AL4+AM4+AN4+AP4+AQ4+AR4)</f>
        <v>699317.85923753667</v>
      </c>
      <c r="AR12" s="599">
        <f>X12*AR4/(AK4+AL4+AM4+AN4+AP4+AQ4+AR4)</f>
        <v>366309.3548387097</v>
      </c>
      <c r="AS12" s="906"/>
      <c r="AT12" s="906"/>
      <c r="AU12" s="906"/>
      <c r="AV12" s="906"/>
      <c r="AW12" s="906"/>
      <c r="AX12" s="906"/>
      <c r="AY12" s="906"/>
      <c r="AZ12" s="906"/>
      <c r="BA12" s="906"/>
      <c r="BB12" s="906"/>
      <c r="BC12" s="906"/>
      <c r="BD12" s="906"/>
      <c r="BE12" s="909"/>
      <c r="BF12" s="908"/>
      <c r="BG12" s="906"/>
      <c r="BH12" s="972"/>
      <c r="BI12" s="1433"/>
      <c r="BJ12" s="823"/>
      <c r="BK12" s="1317"/>
      <c r="BL12" s="1324"/>
    </row>
    <row r="13" spans="1:65" ht="120" customHeight="1" x14ac:dyDescent="0.35">
      <c r="A13" s="1459">
        <v>4</v>
      </c>
      <c r="B13" s="1358" t="s">
        <v>1229</v>
      </c>
      <c r="C13" s="1281" t="s">
        <v>1230</v>
      </c>
      <c r="D13" s="1281" t="s">
        <v>1204</v>
      </c>
      <c r="E13" s="1470"/>
      <c r="F13" s="856"/>
      <c r="G13" s="857"/>
      <c r="H13" s="857"/>
      <c r="I13" s="857"/>
      <c r="J13" s="857"/>
      <c r="K13" s="857"/>
      <c r="L13" s="857"/>
      <c r="M13" s="857"/>
      <c r="N13" s="858"/>
      <c r="O13" s="1281" t="s">
        <v>1231</v>
      </c>
      <c r="P13" s="1281" t="s">
        <v>1232</v>
      </c>
      <c r="Q13" s="324" t="s">
        <v>1233</v>
      </c>
      <c r="R13" s="551" t="s">
        <v>2211</v>
      </c>
      <c r="S13" s="1268" t="s">
        <v>1234</v>
      </c>
      <c r="T13" s="1306" t="s">
        <v>1210</v>
      </c>
      <c r="U13" s="329"/>
      <c r="V13" s="1268"/>
      <c r="W13" s="450"/>
      <c r="X13" s="568"/>
      <c r="Y13" s="1279" t="s">
        <v>1235</v>
      </c>
      <c r="Z13" s="1306" t="s">
        <v>1223</v>
      </c>
      <c r="AA13" s="329"/>
      <c r="AB13" s="493"/>
      <c r="AC13" s="1279"/>
      <c r="AD13" s="1306"/>
      <c r="AE13" s="329"/>
      <c r="AF13" s="1457"/>
      <c r="AG13" s="1309">
        <v>4</v>
      </c>
      <c r="AH13" s="1275">
        <v>4</v>
      </c>
      <c r="AI13" s="1271" t="s">
        <v>1229</v>
      </c>
      <c r="AJ13" s="1293" t="s">
        <v>1230</v>
      </c>
      <c r="AK13" s="1508" t="s">
        <v>1233</v>
      </c>
      <c r="AL13" s="1508"/>
      <c r="AM13" s="1478" t="s">
        <v>1233</v>
      </c>
      <c r="AN13" s="1479"/>
      <c r="AO13" s="493"/>
      <c r="AP13" s="643" t="s">
        <v>1233</v>
      </c>
      <c r="AQ13" s="643" t="s">
        <v>1233</v>
      </c>
      <c r="AR13" s="686" t="s">
        <v>1233</v>
      </c>
      <c r="AS13" s="727" t="s">
        <v>1226</v>
      </c>
      <c r="AT13" s="727" t="s">
        <v>1226</v>
      </c>
      <c r="AU13" s="727" t="s">
        <v>1226</v>
      </c>
      <c r="AV13" s="727" t="s">
        <v>1226</v>
      </c>
      <c r="AW13" s="727" t="s">
        <v>1226</v>
      </c>
      <c r="AX13" s="727" t="s">
        <v>1226</v>
      </c>
      <c r="AY13" s="727" t="s">
        <v>1226</v>
      </c>
      <c r="AZ13" s="727" t="s">
        <v>1226</v>
      </c>
      <c r="BA13" s="727" t="s">
        <v>1226</v>
      </c>
      <c r="BB13" s="727" t="s">
        <v>1226</v>
      </c>
      <c r="BC13" s="727" t="s">
        <v>1226</v>
      </c>
      <c r="BD13" s="727" t="s">
        <v>1226</v>
      </c>
      <c r="BE13" s="733" t="s">
        <v>1226</v>
      </c>
      <c r="BF13" s="833" t="s">
        <v>1226</v>
      </c>
      <c r="BG13" s="727" t="s">
        <v>1226</v>
      </c>
      <c r="BH13" s="888"/>
      <c r="BI13" s="1432">
        <v>4</v>
      </c>
      <c r="BJ13" s="823"/>
      <c r="BK13" s="1316"/>
      <c r="BL13" s="1323"/>
    </row>
    <row r="14" spans="1:65" ht="120" customHeight="1" x14ac:dyDescent="0.35">
      <c r="A14" s="1460"/>
      <c r="B14" s="1359"/>
      <c r="C14" s="1282"/>
      <c r="D14" s="1282"/>
      <c r="E14" s="1471"/>
      <c r="F14" s="1313" t="s">
        <v>1236</v>
      </c>
      <c r="G14" s="1314"/>
      <c r="H14" s="1314"/>
      <c r="I14" s="1314"/>
      <c r="J14" s="1314"/>
      <c r="K14" s="1314"/>
      <c r="L14" s="1314"/>
      <c r="M14" s="1314"/>
      <c r="N14" s="1315"/>
      <c r="O14" s="1282"/>
      <c r="P14" s="1282"/>
      <c r="Q14" s="465">
        <v>4648750</v>
      </c>
      <c r="R14" s="465">
        <v>4759435</v>
      </c>
      <c r="S14" s="1270"/>
      <c r="T14" s="1307"/>
      <c r="U14" s="328"/>
      <c r="V14" s="1270"/>
      <c r="W14" s="486">
        <f>Q14</f>
        <v>4648750</v>
      </c>
      <c r="X14" s="564">
        <f>W14</f>
        <v>4648750</v>
      </c>
      <c r="Y14" s="1308"/>
      <c r="Z14" s="1307"/>
      <c r="AA14" s="328"/>
      <c r="AB14" s="477"/>
      <c r="AC14" s="1308"/>
      <c r="AD14" s="1307"/>
      <c r="AE14" s="328"/>
      <c r="AF14" s="1458"/>
      <c r="AG14" s="1310"/>
      <c r="AH14" s="1276"/>
      <c r="AI14" s="1272"/>
      <c r="AJ14" s="1295"/>
      <c r="AK14" s="696"/>
      <c r="AL14" s="664"/>
      <c r="AM14" s="694">
        <f>X14*AM4/(AK4+AL4+AM4+AN4+AP4+AQ4+AR4)</f>
        <v>708900.29325513192</v>
      </c>
      <c r="AN14" s="694">
        <f>X14*AN4/(AK4+AL4+AM4+AN4+AP4+AQ4+AR4)</f>
        <v>204490.46920821114</v>
      </c>
      <c r="AO14" s="477"/>
      <c r="AP14" s="694">
        <f>X14*AP4/(AK4+AL4+AM4+AN4+AP4+AQ4+AR4)</f>
        <v>572573.31378299126</v>
      </c>
      <c r="AQ14" s="694">
        <f>X14*AQ4/(AK4+AL4+AM4+AN4+AP4+AQ4+AR4)</f>
        <v>286286.65689149563</v>
      </c>
      <c r="AR14" s="608">
        <f>X14*AR4/(AK4+AL4+AM4+AN4+AP4+AQ4+AR4)</f>
        <v>149959.67741935485</v>
      </c>
      <c r="AS14" s="906"/>
      <c r="AT14" s="906"/>
      <c r="AU14" s="906"/>
      <c r="AV14" s="906"/>
      <c r="AW14" s="906"/>
      <c r="AX14" s="906"/>
      <c r="AY14" s="906"/>
      <c r="AZ14" s="906"/>
      <c r="BA14" s="906"/>
      <c r="BB14" s="906"/>
      <c r="BC14" s="906"/>
      <c r="BD14" s="906"/>
      <c r="BE14" s="972"/>
      <c r="BF14" s="971"/>
      <c r="BG14" s="909"/>
      <c r="BH14" s="903"/>
      <c r="BI14" s="1433"/>
      <c r="BJ14" s="823"/>
      <c r="BK14" s="1317"/>
      <c r="BL14" s="1324"/>
    </row>
    <row r="15" spans="1:65" ht="120" customHeight="1" x14ac:dyDescent="0.35">
      <c r="A15" s="1459">
        <v>5</v>
      </c>
      <c r="B15" s="1358" t="s">
        <v>1237</v>
      </c>
      <c r="C15" s="1281" t="s">
        <v>1238</v>
      </c>
      <c r="D15" s="1281" t="s">
        <v>1204</v>
      </c>
      <c r="E15" s="1470"/>
      <c r="F15" s="856"/>
      <c r="G15" s="857"/>
      <c r="H15" s="857"/>
      <c r="I15" s="857"/>
      <c r="J15" s="857"/>
      <c r="K15" s="857"/>
      <c r="L15" s="857"/>
      <c r="M15" s="857"/>
      <c r="N15" s="858"/>
      <c r="O15" s="1281" t="s">
        <v>1218</v>
      </c>
      <c r="P15" s="1281" t="s">
        <v>1239</v>
      </c>
      <c r="Q15" s="329"/>
      <c r="R15" s="329"/>
      <c r="S15" s="1268" t="s">
        <v>1240</v>
      </c>
      <c r="T15" s="1306"/>
      <c r="U15" s="329"/>
      <c r="V15" s="1268"/>
      <c r="W15" s="329"/>
      <c r="X15" s="569" t="s">
        <v>1241</v>
      </c>
      <c r="Y15" s="1480" t="s">
        <v>1242</v>
      </c>
      <c r="Z15" s="1306"/>
      <c r="AA15" s="329"/>
      <c r="AB15" s="569" t="s">
        <v>1241</v>
      </c>
      <c r="AC15" s="1480" t="s">
        <v>1242</v>
      </c>
      <c r="AD15" s="1306"/>
      <c r="AE15" s="329"/>
      <c r="AF15" s="1125"/>
      <c r="AG15" s="1309">
        <v>5</v>
      </c>
      <c r="AH15" s="1275">
        <v>5</v>
      </c>
      <c r="AI15" s="1271" t="s">
        <v>1243</v>
      </c>
      <c r="AJ15" s="1293" t="s">
        <v>1238</v>
      </c>
      <c r="AK15" s="833" t="s">
        <v>1241</v>
      </c>
      <c r="AL15" s="727" t="s">
        <v>1241</v>
      </c>
      <c r="AM15" s="727" t="s">
        <v>1241</v>
      </c>
      <c r="AN15" s="727" t="s">
        <v>1241</v>
      </c>
      <c r="AO15" s="329"/>
      <c r="AP15" s="727" t="s">
        <v>1241</v>
      </c>
      <c r="AQ15" s="732" t="s">
        <v>1241</v>
      </c>
      <c r="AR15" s="834" t="s">
        <v>1241</v>
      </c>
      <c r="AS15" s="727" t="s">
        <v>1226</v>
      </c>
      <c r="AT15" s="727" t="s">
        <v>1226</v>
      </c>
      <c r="AU15" s="727" t="s">
        <v>1226</v>
      </c>
      <c r="AV15" s="727" t="s">
        <v>1226</v>
      </c>
      <c r="AW15" s="727" t="s">
        <v>1226</v>
      </c>
      <c r="AX15" s="727" t="s">
        <v>1226</v>
      </c>
      <c r="AY15" s="727" t="s">
        <v>1226</v>
      </c>
      <c r="AZ15" s="727" t="s">
        <v>1226</v>
      </c>
      <c r="BA15" s="727" t="s">
        <v>1226</v>
      </c>
      <c r="BB15" s="727" t="s">
        <v>1226</v>
      </c>
      <c r="BC15" s="727" t="s">
        <v>1226</v>
      </c>
      <c r="BD15" s="727" t="s">
        <v>1226</v>
      </c>
      <c r="BE15" s="727" t="s">
        <v>1226</v>
      </c>
      <c r="BF15" s="834" t="s">
        <v>1241</v>
      </c>
      <c r="BG15" s="727" t="s">
        <v>1241</v>
      </c>
      <c r="BH15" s="888"/>
      <c r="BI15" s="1432">
        <v>5</v>
      </c>
      <c r="BJ15" s="823"/>
      <c r="BK15" s="1316"/>
      <c r="BL15" s="1323"/>
    </row>
    <row r="16" spans="1:65" ht="114.9" customHeight="1" x14ac:dyDescent="0.35">
      <c r="A16" s="1460"/>
      <c r="B16" s="1359"/>
      <c r="C16" s="1282"/>
      <c r="D16" s="1282"/>
      <c r="E16" s="1471"/>
      <c r="F16" s="1313" t="s">
        <v>1244</v>
      </c>
      <c r="G16" s="1314"/>
      <c r="H16" s="1314"/>
      <c r="I16" s="1314"/>
      <c r="J16" s="1314"/>
      <c r="K16" s="1314"/>
      <c r="L16" s="1314"/>
      <c r="M16" s="1314"/>
      <c r="N16" s="1315"/>
      <c r="O16" s="1282"/>
      <c r="P16" s="1282"/>
      <c r="Q16" s="328"/>
      <c r="R16" s="328"/>
      <c r="S16" s="1270"/>
      <c r="T16" s="1307"/>
      <c r="U16" s="328"/>
      <c r="V16" s="1270"/>
      <c r="W16" s="328"/>
      <c r="X16" s="663"/>
      <c r="Y16" s="1481"/>
      <c r="Z16" s="1307"/>
      <c r="AA16" s="328"/>
      <c r="AB16" s="663"/>
      <c r="AC16" s="1481"/>
      <c r="AD16" s="1307"/>
      <c r="AE16" s="328"/>
      <c r="AF16" s="1126"/>
      <c r="AG16" s="1310"/>
      <c r="AH16" s="1276"/>
      <c r="AI16" s="1272"/>
      <c r="AJ16" s="1295"/>
      <c r="AK16" s="1127"/>
      <c r="AL16" s="786"/>
      <c r="AM16" s="786"/>
      <c r="AN16" s="786"/>
      <c r="AO16" s="477"/>
      <c r="AP16" s="786"/>
      <c r="AQ16" s="789"/>
      <c r="AR16" s="788"/>
      <c r="AS16" s="906"/>
      <c r="AT16" s="906"/>
      <c r="AU16" s="906"/>
      <c r="AV16" s="906"/>
      <c r="AW16" s="906"/>
      <c r="AX16" s="906"/>
      <c r="AY16" s="906"/>
      <c r="AZ16" s="906"/>
      <c r="BA16" s="906"/>
      <c r="BB16" s="906"/>
      <c r="BC16" s="906"/>
      <c r="BD16" s="906"/>
      <c r="BE16" s="909"/>
      <c r="BF16" s="908"/>
      <c r="BG16" s="786"/>
      <c r="BH16" s="903"/>
      <c r="BI16" s="1433"/>
      <c r="BJ16" s="823"/>
      <c r="BK16" s="1317"/>
      <c r="BL16" s="1324"/>
    </row>
    <row r="17" spans="1:64" ht="120" customHeight="1" x14ac:dyDescent="0.35">
      <c r="A17" s="1459">
        <v>6</v>
      </c>
      <c r="B17" s="1358" t="s">
        <v>1245</v>
      </c>
      <c r="C17" s="1281" t="s">
        <v>1246</v>
      </c>
      <c r="D17" s="1281"/>
      <c r="E17" s="1470"/>
      <c r="F17" s="856"/>
      <c r="G17" s="857"/>
      <c r="H17" s="857"/>
      <c r="I17" s="857"/>
      <c r="J17" s="857"/>
      <c r="K17" s="857"/>
      <c r="L17" s="857"/>
      <c r="M17" s="857"/>
      <c r="N17" s="858"/>
      <c r="O17" s="1281" t="s">
        <v>1247</v>
      </c>
      <c r="P17" s="1281" t="s">
        <v>1248</v>
      </c>
      <c r="Q17" s="329"/>
      <c r="R17" s="329"/>
      <c r="S17" s="1268"/>
      <c r="T17" s="1306"/>
      <c r="U17" s="329"/>
      <c r="V17" s="1268"/>
      <c r="W17" s="329"/>
      <c r="X17" s="329"/>
      <c r="Y17" s="1480"/>
      <c r="Z17" s="1306"/>
      <c r="AA17" s="329"/>
      <c r="AB17" s="329"/>
      <c r="AC17" s="1480"/>
      <c r="AD17" s="1306"/>
      <c r="AE17" s="329"/>
      <c r="AF17" s="1125"/>
      <c r="AG17" s="1309">
        <v>6</v>
      </c>
      <c r="AH17" s="1275">
        <v>6</v>
      </c>
      <c r="AI17" s="1271" t="s">
        <v>1245</v>
      </c>
      <c r="AJ17" s="1293" t="s">
        <v>1246</v>
      </c>
      <c r="AK17" s="833" t="s">
        <v>1249</v>
      </c>
      <c r="AL17" s="727" t="s">
        <v>1249</v>
      </c>
      <c r="AM17" s="727" t="s">
        <v>1249</v>
      </c>
      <c r="AN17" s="727" t="s">
        <v>1249</v>
      </c>
      <c r="AO17" s="329"/>
      <c r="AP17" s="727" t="s">
        <v>1249</v>
      </c>
      <c r="AQ17" s="732" t="s">
        <v>1249</v>
      </c>
      <c r="AR17" s="834" t="s">
        <v>1249</v>
      </c>
      <c r="AS17" s="886"/>
      <c r="AT17" s="886"/>
      <c r="AU17" s="886"/>
      <c r="AV17" s="886"/>
      <c r="AW17" s="886"/>
      <c r="AX17" s="886"/>
      <c r="AY17" s="886"/>
      <c r="AZ17" s="886"/>
      <c r="BA17" s="886"/>
      <c r="BB17" s="886"/>
      <c r="BC17" s="886"/>
      <c r="BD17" s="886"/>
      <c r="BE17" s="887"/>
      <c r="BF17" s="885"/>
      <c r="BG17" s="886"/>
      <c r="BH17" s="888"/>
      <c r="BI17" s="1432">
        <v>6</v>
      </c>
      <c r="BJ17" s="823"/>
      <c r="BK17" s="1316"/>
      <c r="BL17" s="1323"/>
    </row>
    <row r="18" spans="1:64" ht="114.9" customHeight="1" x14ac:dyDescent="0.35">
      <c r="A18" s="1460"/>
      <c r="B18" s="1359"/>
      <c r="C18" s="1282"/>
      <c r="D18" s="1282"/>
      <c r="E18" s="1471"/>
      <c r="F18" s="1313" t="s">
        <v>1250</v>
      </c>
      <c r="G18" s="1314"/>
      <c r="H18" s="1314"/>
      <c r="I18" s="1314"/>
      <c r="J18" s="1314"/>
      <c r="K18" s="1314"/>
      <c r="L18" s="1314"/>
      <c r="M18" s="1314"/>
      <c r="N18" s="1315"/>
      <c r="O18" s="1282"/>
      <c r="P18" s="1282"/>
      <c r="Q18" s="328"/>
      <c r="R18" s="328"/>
      <c r="S18" s="1270"/>
      <c r="T18" s="1307"/>
      <c r="U18" s="328"/>
      <c r="V18" s="1270"/>
      <c r="W18" s="328"/>
      <c r="X18" s="328"/>
      <c r="Y18" s="1481"/>
      <c r="Z18" s="1307"/>
      <c r="AA18" s="328"/>
      <c r="AB18" s="328"/>
      <c r="AC18" s="1481"/>
      <c r="AD18" s="1307"/>
      <c r="AE18" s="328"/>
      <c r="AF18" s="1126"/>
      <c r="AG18" s="1310"/>
      <c r="AH18" s="1276"/>
      <c r="AI18" s="1272"/>
      <c r="AJ18" s="1295"/>
      <c r="AK18" s="1127"/>
      <c r="AL18" s="786"/>
      <c r="AM18" s="786"/>
      <c r="AN18" s="786"/>
      <c r="AO18" s="477"/>
      <c r="AP18" s="786"/>
      <c r="AQ18" s="789"/>
      <c r="AR18" s="788"/>
      <c r="AS18" s="899"/>
      <c r="AT18" s="899"/>
      <c r="AU18" s="899"/>
      <c r="AV18" s="899"/>
      <c r="AW18" s="899"/>
      <c r="AX18" s="899"/>
      <c r="AY18" s="899"/>
      <c r="AZ18" s="899"/>
      <c r="BA18" s="899"/>
      <c r="BB18" s="899"/>
      <c r="BC18" s="899"/>
      <c r="BD18" s="899"/>
      <c r="BE18" s="900"/>
      <c r="BF18" s="902"/>
      <c r="BG18" s="899"/>
      <c r="BH18" s="903"/>
      <c r="BI18" s="1433"/>
      <c r="BJ18" s="823"/>
      <c r="BK18" s="1317"/>
      <c r="BL18" s="1324"/>
    </row>
    <row r="19" spans="1:64" ht="114.9" customHeight="1" x14ac:dyDescent="0.35">
      <c r="A19" s="1459">
        <v>7</v>
      </c>
      <c r="B19" s="1358" t="s">
        <v>1251</v>
      </c>
      <c r="C19" s="1281" t="s">
        <v>1252</v>
      </c>
      <c r="D19" s="1281"/>
      <c r="E19" s="1470"/>
      <c r="F19" s="856"/>
      <c r="G19" s="857"/>
      <c r="H19" s="857"/>
      <c r="I19" s="857"/>
      <c r="J19" s="857"/>
      <c r="K19" s="857"/>
      <c r="L19" s="857"/>
      <c r="M19" s="857"/>
      <c r="N19" s="858"/>
      <c r="O19" s="1281" t="s">
        <v>1253</v>
      </c>
      <c r="P19" s="1281" t="s">
        <v>1248</v>
      </c>
      <c r="Q19" s="329"/>
      <c r="R19" s="329"/>
      <c r="S19" s="1268"/>
      <c r="T19" s="1306"/>
      <c r="U19" s="329"/>
      <c r="V19" s="1268"/>
      <c r="W19" s="329"/>
      <c r="X19" s="329"/>
      <c r="Y19" s="1480"/>
      <c r="Z19" s="1306"/>
      <c r="AA19" s="329"/>
      <c r="AB19" s="329"/>
      <c r="AC19" s="1480"/>
      <c r="AD19" s="1306"/>
      <c r="AE19" s="329"/>
      <c r="AF19" s="1457"/>
      <c r="AG19" s="1309">
        <v>7</v>
      </c>
      <c r="AH19" s="1275">
        <v>7</v>
      </c>
      <c r="AI19" s="1271" t="s">
        <v>1251</v>
      </c>
      <c r="AJ19" s="1293" t="s">
        <v>1252</v>
      </c>
      <c r="AK19" s="833" t="s">
        <v>1249</v>
      </c>
      <c r="AL19" s="727" t="s">
        <v>1249</v>
      </c>
      <c r="AM19" s="727" t="s">
        <v>1249</v>
      </c>
      <c r="AN19" s="727" t="s">
        <v>1249</v>
      </c>
      <c r="AO19" s="329"/>
      <c r="AP19" s="727" t="s">
        <v>1249</v>
      </c>
      <c r="AQ19" s="732" t="s">
        <v>1249</v>
      </c>
      <c r="AR19" s="834" t="s">
        <v>1249</v>
      </c>
      <c r="AS19" s="752"/>
      <c r="AT19" s="752"/>
      <c r="AU19" s="752"/>
      <c r="AV19" s="752"/>
      <c r="AW19" s="752"/>
      <c r="AX19" s="752"/>
      <c r="AY19" s="752"/>
      <c r="AZ19" s="752"/>
      <c r="BA19" s="752"/>
      <c r="BB19" s="752"/>
      <c r="BC19" s="752"/>
      <c r="BD19" s="752"/>
      <c r="BE19" s="752"/>
      <c r="BF19" s="885"/>
      <c r="BG19" s="886"/>
      <c r="BH19" s="888"/>
      <c r="BI19" s="1432">
        <v>7</v>
      </c>
      <c r="BJ19" s="823"/>
      <c r="BK19" s="1316"/>
      <c r="BL19" s="1323"/>
    </row>
    <row r="20" spans="1:64" ht="114.9" customHeight="1" x14ac:dyDescent="0.35">
      <c r="A20" s="1460"/>
      <c r="B20" s="1359"/>
      <c r="C20" s="1282"/>
      <c r="D20" s="1282"/>
      <c r="E20" s="1471"/>
      <c r="F20" s="1313" t="s">
        <v>1254</v>
      </c>
      <c r="G20" s="1314"/>
      <c r="H20" s="1314"/>
      <c r="I20" s="1314"/>
      <c r="J20" s="1314"/>
      <c r="K20" s="1314"/>
      <c r="L20" s="1314"/>
      <c r="M20" s="1314"/>
      <c r="N20" s="1315"/>
      <c r="O20" s="1282"/>
      <c r="P20" s="1282"/>
      <c r="Q20" s="331"/>
      <c r="R20" s="331"/>
      <c r="S20" s="1270"/>
      <c r="T20" s="1307"/>
      <c r="U20" s="331"/>
      <c r="V20" s="1270"/>
      <c r="W20" s="331"/>
      <c r="X20" s="331"/>
      <c r="Y20" s="1481"/>
      <c r="Z20" s="1307"/>
      <c r="AA20" s="331"/>
      <c r="AB20" s="331"/>
      <c r="AC20" s="1481"/>
      <c r="AD20" s="1307"/>
      <c r="AE20" s="331"/>
      <c r="AF20" s="1458"/>
      <c r="AG20" s="1310"/>
      <c r="AH20" s="1276"/>
      <c r="AI20" s="1272"/>
      <c r="AJ20" s="1295"/>
      <c r="AK20" s="1128"/>
      <c r="AL20" s="1129"/>
      <c r="AM20" s="1129"/>
      <c r="AN20" s="1130"/>
      <c r="AO20" s="480"/>
      <c r="AP20" s="1130"/>
      <c r="AQ20" s="1129"/>
      <c r="AR20" s="1131"/>
      <c r="AS20" s="753"/>
      <c r="AT20" s="753"/>
      <c r="AU20" s="753"/>
      <c r="AV20" s="753"/>
      <c r="AW20" s="753"/>
      <c r="AX20" s="753"/>
      <c r="AY20" s="753"/>
      <c r="AZ20" s="753"/>
      <c r="BA20" s="753"/>
      <c r="BB20" s="753"/>
      <c r="BC20" s="753"/>
      <c r="BD20" s="753"/>
      <c r="BE20" s="748"/>
      <c r="BF20" s="902"/>
      <c r="BG20" s="893"/>
      <c r="BH20" s="897"/>
      <c r="BI20" s="1433"/>
      <c r="BJ20" s="823"/>
      <c r="BK20" s="1317"/>
      <c r="BL20" s="1324"/>
    </row>
    <row r="21" spans="1:64" ht="120" customHeight="1" x14ac:dyDescent="0.35">
      <c r="A21" s="1459">
        <v>8</v>
      </c>
      <c r="B21" s="1358" t="s">
        <v>1255</v>
      </c>
      <c r="C21" s="1281" t="s">
        <v>1256</v>
      </c>
      <c r="D21" s="1281" t="s">
        <v>1257</v>
      </c>
      <c r="E21" s="1470"/>
      <c r="F21" s="1132"/>
      <c r="G21" s="1133" t="s">
        <v>1258</v>
      </c>
      <c r="H21" s="1134"/>
      <c r="I21" s="1134"/>
      <c r="J21" s="1134"/>
      <c r="K21" s="1134"/>
      <c r="L21" s="1134"/>
      <c r="M21" s="1134"/>
      <c r="N21" s="1135"/>
      <c r="O21" s="1281" t="s">
        <v>1259</v>
      </c>
      <c r="P21" s="1281" t="s">
        <v>1260</v>
      </c>
      <c r="Q21" s="329"/>
      <c r="R21" s="329"/>
      <c r="S21" s="1268"/>
      <c r="T21" s="1306"/>
      <c r="U21" s="329"/>
      <c r="V21" s="1268"/>
      <c r="W21" s="329"/>
      <c r="X21" s="569" t="s">
        <v>1261</v>
      </c>
      <c r="Y21" s="1480" t="s">
        <v>1262</v>
      </c>
      <c r="Z21" s="1306"/>
      <c r="AA21" s="489"/>
      <c r="AB21" s="569" t="s">
        <v>1263</v>
      </c>
      <c r="AC21" s="1480"/>
      <c r="AD21" s="1306"/>
      <c r="AE21" s="329"/>
      <c r="AF21" s="1457"/>
      <c r="AG21" s="1309">
        <v>8</v>
      </c>
      <c r="AH21" s="1275">
        <v>8</v>
      </c>
      <c r="AI21" s="1271" t="s">
        <v>1255</v>
      </c>
      <c r="AJ21" s="1293" t="s">
        <v>1256</v>
      </c>
      <c r="AK21" s="695" t="s">
        <v>1264</v>
      </c>
      <c r="AL21" s="643" t="s">
        <v>1265</v>
      </c>
      <c r="AM21" s="643" t="s">
        <v>1263</v>
      </c>
      <c r="AN21" s="643" t="s">
        <v>1263</v>
      </c>
      <c r="AO21" s="493"/>
      <c r="AP21" s="643" t="s">
        <v>1263</v>
      </c>
      <c r="AQ21" s="643" t="s">
        <v>1263</v>
      </c>
      <c r="AR21" s="686" t="s">
        <v>1263</v>
      </c>
      <c r="AS21" s="752"/>
      <c r="AT21" s="752"/>
      <c r="AU21" s="752"/>
      <c r="AV21" s="752"/>
      <c r="AW21" s="752"/>
      <c r="AX21" s="752"/>
      <c r="AY21" s="752"/>
      <c r="AZ21" s="752"/>
      <c r="BA21" s="752"/>
      <c r="BB21" s="752"/>
      <c r="BC21" s="752"/>
      <c r="BD21" s="752"/>
      <c r="BE21" s="752"/>
      <c r="BF21" s="686" t="s">
        <v>1263</v>
      </c>
      <c r="BG21" s="832"/>
      <c r="BH21" s="888"/>
      <c r="BI21" s="1432">
        <v>8</v>
      </c>
      <c r="BJ21" s="823"/>
      <c r="BK21" s="1316"/>
      <c r="BL21" s="1323"/>
    </row>
    <row r="22" spans="1:64" ht="114.9" customHeight="1" thickBot="1" x14ac:dyDescent="0.4">
      <c r="A22" s="1460"/>
      <c r="B22" s="1362"/>
      <c r="C22" s="1302"/>
      <c r="D22" s="1302"/>
      <c r="E22" s="1485"/>
      <c r="F22" s="1355" t="s">
        <v>1266</v>
      </c>
      <c r="G22" s="1356"/>
      <c r="H22" s="1356"/>
      <c r="I22" s="1356"/>
      <c r="J22" s="1356"/>
      <c r="K22" s="1356"/>
      <c r="L22" s="1356"/>
      <c r="M22" s="1356"/>
      <c r="N22" s="1357"/>
      <c r="O22" s="1302"/>
      <c r="P22" s="1302"/>
      <c r="Q22" s="331"/>
      <c r="R22" s="331"/>
      <c r="S22" s="1269"/>
      <c r="T22" s="1438"/>
      <c r="U22" s="331"/>
      <c r="V22" s="1269"/>
      <c r="W22" s="331"/>
      <c r="X22" s="563"/>
      <c r="Y22" s="1500"/>
      <c r="Z22" s="1438"/>
      <c r="AA22" s="626"/>
      <c r="AB22" s="664"/>
      <c r="AC22" s="1500"/>
      <c r="AD22" s="1438"/>
      <c r="AE22" s="331"/>
      <c r="AF22" s="1499"/>
      <c r="AG22" s="1310"/>
      <c r="AH22" s="1276"/>
      <c r="AI22" s="1296"/>
      <c r="AJ22" s="1294"/>
      <c r="AK22" s="1107"/>
      <c r="AL22" s="694"/>
      <c r="AM22" s="694"/>
      <c r="AN22" s="694"/>
      <c r="AO22" s="480"/>
      <c r="AP22" s="694"/>
      <c r="AQ22" s="694"/>
      <c r="AR22" s="1136"/>
      <c r="AS22" s="753"/>
      <c r="AT22" s="753"/>
      <c r="AU22" s="753"/>
      <c r="AV22" s="753"/>
      <c r="AW22" s="753"/>
      <c r="AX22" s="753"/>
      <c r="AY22" s="753"/>
      <c r="AZ22" s="753"/>
      <c r="BA22" s="753"/>
      <c r="BB22" s="753"/>
      <c r="BC22" s="753"/>
      <c r="BD22" s="753"/>
      <c r="BE22" s="748"/>
      <c r="BF22" s="1136"/>
      <c r="BG22" s="892"/>
      <c r="BH22" s="897"/>
      <c r="BI22" s="1433"/>
      <c r="BJ22" s="823"/>
      <c r="BK22" s="1317"/>
      <c r="BL22" s="1324"/>
    </row>
    <row r="23" spans="1:64" ht="99.9" customHeight="1" thickTop="1" x14ac:dyDescent="0.35">
      <c r="A23" s="821"/>
      <c r="B23" s="1368"/>
      <c r="C23" s="1370" t="s">
        <v>1199</v>
      </c>
      <c r="D23" s="1347"/>
      <c r="E23" s="1347"/>
      <c r="F23" s="1347"/>
      <c r="G23" s="1347"/>
      <c r="H23" s="1347"/>
      <c r="I23" s="1347"/>
      <c r="J23" s="1347"/>
      <c r="K23" s="1347"/>
      <c r="L23" s="1347"/>
      <c r="M23" s="1347"/>
      <c r="N23" s="1347"/>
      <c r="O23" s="1347"/>
      <c r="P23" s="1347"/>
      <c r="Q23" s="1349" t="s">
        <v>1</v>
      </c>
      <c r="R23" s="1446" t="s">
        <v>2192</v>
      </c>
      <c r="S23" s="1337"/>
      <c r="T23" s="1337"/>
      <c r="U23" s="1351" t="s">
        <v>2</v>
      </c>
      <c r="V23" s="1337"/>
      <c r="W23" s="1501" t="s">
        <v>502</v>
      </c>
      <c r="X23" s="1291" t="s">
        <v>1267</v>
      </c>
      <c r="Y23" s="1329"/>
      <c r="Z23" s="1337"/>
      <c r="AA23" s="1504" t="s">
        <v>506</v>
      </c>
      <c r="AB23" s="1291" t="s">
        <v>1268</v>
      </c>
      <c r="AC23" s="1335"/>
      <c r="AD23" s="1337"/>
      <c r="AE23" s="1501" t="s">
        <v>508</v>
      </c>
      <c r="AF23" s="1486"/>
      <c r="AG23" s="813"/>
      <c r="AH23" s="868"/>
      <c r="AI23" s="1332"/>
      <c r="AJ23" s="1304" t="s">
        <v>1199</v>
      </c>
      <c r="AK23" s="976" t="s">
        <v>2234</v>
      </c>
      <c r="AL23" s="977" t="s">
        <v>2235</v>
      </c>
      <c r="AM23" s="977" t="s">
        <v>2236</v>
      </c>
      <c r="AN23" s="977" t="s">
        <v>2237</v>
      </c>
      <c r="AO23" s="977" t="s">
        <v>2238</v>
      </c>
      <c r="AP23" s="977" t="s">
        <v>2239</v>
      </c>
      <c r="AQ23" s="978" t="s">
        <v>2240</v>
      </c>
      <c r="AR23" s="979" t="s">
        <v>2241</v>
      </c>
      <c r="AS23" s="977" t="s">
        <v>2242</v>
      </c>
      <c r="AT23" s="977" t="s">
        <v>2243</v>
      </c>
      <c r="AU23" s="977" t="s">
        <v>2244</v>
      </c>
      <c r="AV23" s="977" t="s">
        <v>2245</v>
      </c>
      <c r="AW23" s="977" t="s">
        <v>2246</v>
      </c>
      <c r="AX23" s="977" t="s">
        <v>2247</v>
      </c>
      <c r="AY23" s="977" t="s">
        <v>2248</v>
      </c>
      <c r="AZ23" s="977" t="s">
        <v>2249</v>
      </c>
      <c r="BA23" s="977" t="s">
        <v>2250</v>
      </c>
      <c r="BB23" s="977" t="s">
        <v>2251</v>
      </c>
      <c r="BC23" s="977" t="s">
        <v>2252</v>
      </c>
      <c r="BD23" s="977" t="s">
        <v>2253</v>
      </c>
      <c r="BE23" s="978" t="s">
        <v>2254</v>
      </c>
      <c r="BF23" s="979" t="s">
        <v>2255</v>
      </c>
      <c r="BG23" s="1343" t="s">
        <v>41</v>
      </c>
      <c r="BH23" s="1506" t="s">
        <v>42</v>
      </c>
      <c r="BI23" s="1137"/>
      <c r="BJ23" s="860"/>
      <c r="BK23" s="1328"/>
      <c r="BL23" s="1328"/>
    </row>
    <row r="24" spans="1:64" s="793" customFormat="1" ht="50.15" customHeight="1" x14ac:dyDescent="0.35">
      <c r="A24" s="821"/>
      <c r="B24" s="1369"/>
      <c r="C24" s="1371"/>
      <c r="D24" s="1348"/>
      <c r="E24" s="1348"/>
      <c r="F24" s="454"/>
      <c r="G24" s="454"/>
      <c r="H24" s="454"/>
      <c r="I24" s="454"/>
      <c r="J24" s="454"/>
      <c r="K24" s="454"/>
      <c r="L24" s="454"/>
      <c r="M24" s="454"/>
      <c r="N24" s="454"/>
      <c r="O24" s="1348"/>
      <c r="P24" s="1348"/>
      <c r="Q24" s="1350"/>
      <c r="R24" s="1447"/>
      <c r="S24" s="1338"/>
      <c r="T24" s="1338"/>
      <c r="U24" s="1352"/>
      <c r="V24" s="1338"/>
      <c r="W24" s="1502"/>
      <c r="X24" s="1292"/>
      <c r="Y24" s="1330"/>
      <c r="Z24" s="1338"/>
      <c r="AA24" s="1505"/>
      <c r="AB24" s="1292"/>
      <c r="AC24" s="1336"/>
      <c r="AD24" s="1338"/>
      <c r="AE24" s="1502"/>
      <c r="AF24" s="1487"/>
      <c r="AG24" s="769"/>
      <c r="AH24" s="758"/>
      <c r="AI24" s="1333"/>
      <c r="AJ24" s="1305"/>
      <c r="AK24" s="981">
        <v>8500</v>
      </c>
      <c r="AL24" s="982">
        <v>1500</v>
      </c>
      <c r="AM24" s="982">
        <v>2600</v>
      </c>
      <c r="AN24" s="983">
        <v>750</v>
      </c>
      <c r="AO24" s="983" t="s">
        <v>48</v>
      </c>
      <c r="AP24" s="982">
        <v>2100</v>
      </c>
      <c r="AQ24" s="984">
        <v>1050</v>
      </c>
      <c r="AR24" s="985">
        <v>550</v>
      </c>
      <c r="AS24" s="983">
        <v>70</v>
      </c>
      <c r="AT24" s="983">
        <v>30</v>
      </c>
      <c r="AU24" s="983">
        <v>35</v>
      </c>
      <c r="AV24" s="983">
        <v>35</v>
      </c>
      <c r="AW24" s="983">
        <v>20</v>
      </c>
      <c r="AX24" s="983">
        <v>16</v>
      </c>
      <c r="AY24" s="983">
        <v>15</v>
      </c>
      <c r="AZ24" s="983">
        <v>13</v>
      </c>
      <c r="BA24" s="983">
        <v>10</v>
      </c>
      <c r="BB24" s="983">
        <v>10</v>
      </c>
      <c r="BC24" s="983">
        <v>10</v>
      </c>
      <c r="BD24" s="983">
        <v>10</v>
      </c>
      <c r="BE24" s="986">
        <v>10</v>
      </c>
      <c r="BF24" s="987">
        <v>2120</v>
      </c>
      <c r="BG24" s="1344"/>
      <c r="BH24" s="1507"/>
      <c r="BI24" s="880"/>
      <c r="BJ24" s="791"/>
      <c r="BK24" s="1327"/>
      <c r="BL24" s="1327"/>
    </row>
    <row r="25" spans="1:64" ht="17.25" customHeight="1" thickBot="1" x14ac:dyDescent="0.4">
      <c r="A25" s="821"/>
      <c r="B25" s="988"/>
      <c r="C25" s="573"/>
      <c r="D25" s="573"/>
      <c r="E25" s="989" t="s">
        <v>857</v>
      </c>
      <c r="F25" s="574"/>
      <c r="G25" s="574"/>
      <c r="H25" s="574"/>
      <c r="I25" s="574"/>
      <c r="J25" s="574"/>
      <c r="K25" s="574"/>
      <c r="L25" s="574"/>
      <c r="M25" s="574"/>
      <c r="N25" s="578"/>
      <c r="O25" s="574"/>
      <c r="P25" s="573"/>
      <c r="Q25" s="590"/>
      <c r="R25" s="595"/>
      <c r="S25" s="592"/>
      <c r="T25" s="577"/>
      <c r="U25" s="590"/>
      <c r="V25" s="579"/>
      <c r="W25" s="590"/>
      <c r="X25" s="640"/>
      <c r="Y25" s="631"/>
      <c r="Z25" s="577"/>
      <c r="AA25" s="590"/>
      <c r="AB25" s="640"/>
      <c r="AC25" s="620"/>
      <c r="AD25" s="577"/>
      <c r="AE25" s="593"/>
      <c r="AF25" s="1111"/>
      <c r="AG25" s="798"/>
      <c r="AI25" s="991"/>
      <c r="AJ25" s="992" t="s">
        <v>857</v>
      </c>
      <c r="AK25" s="993"/>
      <c r="AL25" s="994"/>
      <c r="AM25" s="994"/>
      <c r="AN25" s="994"/>
      <c r="AO25" s="994"/>
      <c r="AP25" s="994"/>
      <c r="AQ25" s="995"/>
      <c r="AR25" s="996"/>
      <c r="AS25" s="994"/>
      <c r="AT25" s="994"/>
      <c r="AU25" s="994"/>
      <c r="AV25" s="994"/>
      <c r="AW25" s="994"/>
      <c r="AX25" s="994"/>
      <c r="AY25" s="994"/>
      <c r="AZ25" s="994"/>
      <c r="BA25" s="994"/>
      <c r="BB25" s="994"/>
      <c r="BC25" s="994"/>
      <c r="BD25" s="994"/>
      <c r="BE25" s="995"/>
      <c r="BF25" s="996"/>
      <c r="BG25" s="997"/>
      <c r="BH25" s="1138"/>
      <c r="BJ25" s="823"/>
      <c r="BK25" s="807"/>
      <c r="BL25" s="807"/>
    </row>
    <row r="26" spans="1:64" s="1012" customFormat="1" ht="19" thickTop="1" x14ac:dyDescent="0.35">
      <c r="A26" s="821">
        <v>9</v>
      </c>
      <c r="B26" s="1000"/>
      <c r="C26" s="1000"/>
      <c r="D26" s="1000"/>
      <c r="E26" s="1001" t="s">
        <v>2203</v>
      </c>
      <c r="F26" s="1002"/>
      <c r="G26" s="1002"/>
      <c r="H26" s="1002"/>
      <c r="I26" s="1002"/>
      <c r="J26" s="1002"/>
      <c r="K26" s="1002"/>
      <c r="L26" s="1002"/>
      <c r="M26" s="1002"/>
      <c r="N26" s="1002"/>
      <c r="O26" s="1003"/>
      <c r="P26" s="1002"/>
      <c r="Q26" s="1004">
        <f>Q7+Q10+Q12+Q14+Q18+Q20+Q22</f>
        <v>48416554</v>
      </c>
      <c r="R26" s="1004">
        <f>R7+R10+R12+R14+R16+R18+R20+R22</f>
        <v>49569329</v>
      </c>
      <c r="S26" s="1005"/>
      <c r="T26" s="1005"/>
      <c r="U26" s="1006"/>
      <c r="V26" s="1005"/>
      <c r="W26" s="1009"/>
      <c r="X26" s="1007"/>
      <c r="Y26" s="1008"/>
      <c r="Z26" s="1005"/>
      <c r="AA26" s="1009"/>
      <c r="AB26" s="1007"/>
      <c r="AC26" s="1010"/>
      <c r="AD26" s="1005"/>
      <c r="AE26" s="1009"/>
      <c r="AF26" s="1011"/>
      <c r="AG26" s="821">
        <v>9</v>
      </c>
      <c r="AH26" s="758"/>
      <c r="AI26" s="1011"/>
      <c r="AJ26" s="1011"/>
      <c r="AK26" s="1006"/>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758"/>
      <c r="BJ26" s="889"/>
      <c r="BK26" s="1325"/>
      <c r="BL26" s="1503"/>
    </row>
    <row r="27" spans="1:64" s="1012" customFormat="1" ht="18.5" x14ac:dyDescent="0.35">
      <c r="A27" s="821">
        <v>10</v>
      </c>
      <c r="B27" s="1013"/>
      <c r="C27" s="1014"/>
      <c r="D27" s="1014"/>
      <c r="E27" s="1015" t="s">
        <v>859</v>
      </c>
      <c r="F27" s="1016"/>
      <c r="G27" s="1016"/>
      <c r="H27" s="1016"/>
      <c r="I27" s="1016"/>
      <c r="J27" s="1016"/>
      <c r="K27" s="1016"/>
      <c r="L27" s="1016"/>
      <c r="M27" s="1016"/>
      <c r="N27" s="1016"/>
      <c r="O27" s="1017"/>
      <c r="P27" s="1018"/>
      <c r="Q27" s="1016"/>
      <c r="R27" s="1016"/>
      <c r="S27" s="1018"/>
      <c r="T27" s="1018"/>
      <c r="U27" s="1019">
        <f>U7+U10+U12+U14+U18+U20+U22</f>
        <v>0</v>
      </c>
      <c r="V27" s="1020"/>
      <c r="W27" s="1113"/>
      <c r="X27" s="1021"/>
      <c r="Y27" s="1022"/>
      <c r="AA27" s="1023"/>
      <c r="AB27" s="1021"/>
      <c r="AC27" s="1020"/>
      <c r="AE27" s="1023"/>
      <c r="AG27" s="821">
        <v>10</v>
      </c>
      <c r="AH27" s="758"/>
      <c r="AJ27" s="1024"/>
      <c r="AK27" s="1023"/>
      <c r="AL27" s="1025"/>
      <c r="AM27" s="1025"/>
      <c r="AN27" s="1025"/>
      <c r="AO27" s="1025"/>
      <c r="AP27" s="1025"/>
      <c r="AQ27" s="1025"/>
      <c r="AR27" s="1025"/>
      <c r="AS27" s="1025"/>
      <c r="AT27" s="1025"/>
      <c r="AU27" s="1025"/>
      <c r="AV27" s="1025"/>
      <c r="AW27" s="1025"/>
      <c r="AX27" s="1025"/>
      <c r="AY27" s="1025"/>
      <c r="AZ27" s="1025"/>
      <c r="BA27" s="1025"/>
      <c r="BB27" s="1025"/>
      <c r="BC27" s="1025"/>
      <c r="BD27" s="1025"/>
      <c r="BE27" s="1025"/>
      <c r="BF27" s="1025"/>
      <c r="BG27" s="1025"/>
      <c r="BH27" s="1025"/>
      <c r="BI27" s="758"/>
      <c r="BJ27" s="889"/>
      <c r="BK27" s="1325"/>
      <c r="BL27" s="1503"/>
    </row>
    <row r="28" spans="1:64" s="1012" customFormat="1" ht="18.5" x14ac:dyDescent="0.35">
      <c r="A28" s="821">
        <v>11</v>
      </c>
      <c r="B28" s="1026"/>
      <c r="C28" s="1026"/>
      <c r="D28" s="1026"/>
      <c r="E28" s="1027" t="s">
        <v>860</v>
      </c>
      <c r="F28" s="1028"/>
      <c r="G28" s="1028"/>
      <c r="H28" s="1028"/>
      <c r="I28" s="1028"/>
      <c r="J28" s="1028"/>
      <c r="K28" s="1028"/>
      <c r="L28" s="1028"/>
      <c r="M28" s="1028"/>
      <c r="N28" s="1028"/>
      <c r="O28" s="1029"/>
      <c r="P28" s="1030"/>
      <c r="Q28" s="1028"/>
      <c r="R28" s="1028"/>
      <c r="S28" s="1030"/>
      <c r="T28" s="1030"/>
      <c r="U28" s="1028"/>
      <c r="V28" s="1028"/>
      <c r="W28" s="1114">
        <f>W7+W10+W12+W14+W18+W20+W22</f>
        <v>48416554</v>
      </c>
      <c r="X28" s="1031"/>
      <c r="Y28" s="1032"/>
      <c r="Z28" s="1033"/>
      <c r="AA28" s="1114">
        <f>W28-X29</f>
        <v>32412214</v>
      </c>
      <c r="AB28" s="1031"/>
      <c r="AC28" s="1034"/>
      <c r="AD28" s="1033"/>
      <c r="AE28" s="1114">
        <f>AA28-(AE7+AE10+AE12+AE14+AE18+AE20+AE22)</f>
        <v>32412214</v>
      </c>
      <c r="AF28" s="1011"/>
      <c r="AG28" s="821">
        <v>11</v>
      </c>
      <c r="AH28" s="881"/>
      <c r="AI28" s="1011"/>
      <c r="AJ28" s="1011"/>
      <c r="AK28" s="1006"/>
      <c r="AL28" s="1007"/>
      <c r="AM28" s="1007"/>
      <c r="AN28" s="1007"/>
      <c r="AO28" s="1007"/>
      <c r="AP28" s="1007"/>
      <c r="AQ28" s="1007"/>
      <c r="AR28" s="1007"/>
      <c r="AS28" s="1007"/>
      <c r="AT28" s="1007"/>
      <c r="AU28" s="1007"/>
      <c r="AV28" s="1007"/>
      <c r="AW28" s="1007"/>
      <c r="AX28" s="1007"/>
      <c r="AY28" s="1007"/>
      <c r="AZ28" s="1007"/>
      <c r="BA28" s="1007"/>
      <c r="BB28" s="1007"/>
      <c r="BC28" s="1007"/>
      <c r="BD28" s="1007"/>
      <c r="BE28" s="1007"/>
      <c r="BF28" s="1007"/>
      <c r="BG28" s="1007"/>
      <c r="BH28" s="1007"/>
      <c r="BI28" s="881"/>
      <c r="BJ28" s="889"/>
      <c r="BK28" s="1325"/>
      <c r="BL28" s="1503"/>
    </row>
    <row r="29" spans="1:64" s="1012" customFormat="1" ht="18.5" x14ac:dyDescent="0.35">
      <c r="A29" s="821">
        <v>12</v>
      </c>
      <c r="B29" s="1036"/>
      <c r="C29" s="1036"/>
      <c r="D29" s="1036"/>
      <c r="E29" s="1037" t="s">
        <v>861</v>
      </c>
      <c r="F29" s="1038"/>
      <c r="G29" s="1038"/>
      <c r="H29" s="1038"/>
      <c r="I29" s="1038"/>
      <c r="J29" s="1038"/>
      <c r="K29" s="1038"/>
      <c r="L29" s="1038"/>
      <c r="M29" s="1038"/>
      <c r="N29" s="1038"/>
      <c r="O29" s="1039"/>
      <c r="P29" s="1040"/>
      <c r="Q29" s="1038"/>
      <c r="R29" s="1038"/>
      <c r="S29" s="1040"/>
      <c r="T29" s="1040"/>
      <c r="U29" s="1038"/>
      <c r="V29" s="1038"/>
      <c r="W29" s="1038"/>
      <c r="X29" s="1041">
        <f>X7+X10+X12+X14+X18+X20+X22</f>
        <v>16004340</v>
      </c>
      <c r="Y29" s="1042"/>
      <c r="Z29" s="1043"/>
      <c r="AA29" s="1043"/>
      <c r="AB29" s="1041">
        <f>AB7+AB10+AB12+AB14+AB18+AB20+AB22</f>
        <v>0</v>
      </c>
      <c r="AC29" s="1020"/>
      <c r="AG29" s="821">
        <v>12</v>
      </c>
      <c r="AH29" s="821">
        <v>12</v>
      </c>
      <c r="AI29" s="1036"/>
      <c r="AJ29" s="1037" t="s">
        <v>862</v>
      </c>
      <c r="AK29" s="1117">
        <f>AK7+AK10+AK12+AK14+AK18+AK20+AK22</f>
        <v>0</v>
      </c>
      <c r="AL29" s="1117">
        <f t="shared" ref="AL29:BH29" si="0">AL7+AL10+AL12+AL14+AL18+AL20+AL22</f>
        <v>0</v>
      </c>
      <c r="AM29" s="1117">
        <f t="shared" si="0"/>
        <v>2440544.5161290322</v>
      </c>
      <c r="AN29" s="1117">
        <f t="shared" si="0"/>
        <v>704003.22580645164</v>
      </c>
      <c r="AO29" s="1117">
        <f t="shared" si="0"/>
        <v>0</v>
      </c>
      <c r="AP29" s="1117">
        <f t="shared" si="0"/>
        <v>1971209.0322580645</v>
      </c>
      <c r="AQ29" s="1117">
        <f t="shared" si="0"/>
        <v>985604.51612903224</v>
      </c>
      <c r="AR29" s="1117">
        <f t="shared" si="0"/>
        <v>516269.03225806454</v>
      </c>
      <c r="AS29" s="1117">
        <f t="shared" si="0"/>
        <v>0</v>
      </c>
      <c r="AT29" s="1117">
        <f t="shared" si="0"/>
        <v>0</v>
      </c>
      <c r="AU29" s="1117">
        <f t="shared" si="0"/>
        <v>0</v>
      </c>
      <c r="AV29" s="1117">
        <f t="shared" si="0"/>
        <v>0</v>
      </c>
      <c r="AW29" s="1117">
        <f t="shared" si="0"/>
        <v>0</v>
      </c>
      <c r="AX29" s="1117">
        <f t="shared" si="0"/>
        <v>0</v>
      </c>
      <c r="AY29" s="1117">
        <f t="shared" si="0"/>
        <v>0</v>
      </c>
      <c r="AZ29" s="1117">
        <f t="shared" si="0"/>
        <v>0</v>
      </c>
      <c r="BA29" s="1117">
        <f t="shared" si="0"/>
        <v>0</v>
      </c>
      <c r="BB29" s="1117">
        <f t="shared" si="0"/>
        <v>0</v>
      </c>
      <c r="BC29" s="1117">
        <f t="shared" si="0"/>
        <v>0</v>
      </c>
      <c r="BD29" s="1117">
        <f t="shared" si="0"/>
        <v>0</v>
      </c>
      <c r="BE29" s="1117">
        <f t="shared" si="0"/>
        <v>0</v>
      </c>
      <c r="BF29" s="1117">
        <f t="shared" si="0"/>
        <v>0</v>
      </c>
      <c r="BG29" s="1117">
        <f t="shared" si="0"/>
        <v>0</v>
      </c>
      <c r="BH29" s="1117">
        <f t="shared" si="0"/>
        <v>0</v>
      </c>
      <c r="BI29" s="821">
        <v>12</v>
      </c>
      <c r="BJ29" s="889"/>
      <c r="BK29" s="1325"/>
      <c r="BL29" s="1503"/>
    </row>
    <row r="30" spans="1:64" s="1012" customFormat="1" ht="15" customHeight="1" x14ac:dyDescent="0.35">
      <c r="A30" s="758"/>
      <c r="B30" s="1072" t="s">
        <v>449</v>
      </c>
      <c r="C30" s="1072" t="s">
        <v>450</v>
      </c>
      <c r="D30" s="1072" t="s">
        <v>451</v>
      </c>
      <c r="E30" s="1072" t="s">
        <v>452</v>
      </c>
      <c r="F30" s="1464" t="s">
        <v>453</v>
      </c>
      <c r="G30" s="1464"/>
      <c r="H30" s="1464"/>
      <c r="I30" s="1464"/>
      <c r="J30" s="1464"/>
      <c r="K30" s="1464"/>
      <c r="L30" s="1464"/>
      <c r="M30" s="1464"/>
      <c r="N30" s="1464"/>
      <c r="O30" s="1072" t="s">
        <v>454</v>
      </c>
      <c r="P30" s="1072" t="s">
        <v>455</v>
      </c>
      <c r="Q30" s="1072" t="s">
        <v>456</v>
      </c>
      <c r="R30" s="1072"/>
      <c r="S30" s="1072" t="s">
        <v>457</v>
      </c>
      <c r="T30" s="1072" t="s">
        <v>458</v>
      </c>
      <c r="U30" s="1072" t="s">
        <v>459</v>
      </c>
      <c r="V30" s="1072" t="s">
        <v>460</v>
      </c>
      <c r="W30" s="1072" t="s">
        <v>461</v>
      </c>
      <c r="X30" s="1072" t="s">
        <v>242</v>
      </c>
      <c r="Y30" s="1072" t="s">
        <v>462</v>
      </c>
      <c r="Z30" s="1072" t="s">
        <v>463</v>
      </c>
      <c r="AA30" s="1072" t="s">
        <v>464</v>
      </c>
      <c r="AB30" s="1072" t="s">
        <v>465</v>
      </c>
      <c r="AC30" s="1072" t="s">
        <v>466</v>
      </c>
      <c r="AD30" s="1072" t="s">
        <v>467</v>
      </c>
      <c r="AE30" s="1072" t="s">
        <v>468</v>
      </c>
      <c r="AF30" s="1072" t="s">
        <v>469</v>
      </c>
      <c r="AG30" s="758"/>
      <c r="AH30" s="758"/>
      <c r="AI30" s="1072" t="s">
        <v>449</v>
      </c>
      <c r="AJ30" s="1072" t="s">
        <v>450</v>
      </c>
      <c r="AK30" s="1072" t="s">
        <v>471</v>
      </c>
      <c r="AL30" s="1072" t="s">
        <v>472</v>
      </c>
      <c r="AM30" s="1072" t="s">
        <v>473</v>
      </c>
      <c r="AN30" s="1072" t="s">
        <v>474</v>
      </c>
      <c r="AO30" s="1072" t="s">
        <v>475</v>
      </c>
      <c r="AP30" s="1072" t="s">
        <v>476</v>
      </c>
      <c r="AQ30" s="1072" t="s">
        <v>477</v>
      </c>
      <c r="AR30" s="1072" t="s">
        <v>478</v>
      </c>
      <c r="AS30" s="1072" t="s">
        <v>479</v>
      </c>
      <c r="AT30" s="1072" t="s">
        <v>480</v>
      </c>
      <c r="AU30" s="1072" t="s">
        <v>481</v>
      </c>
      <c r="AV30" s="1072" t="s">
        <v>482</v>
      </c>
      <c r="AW30" s="1072" t="s">
        <v>483</v>
      </c>
      <c r="AX30" s="1072" t="s">
        <v>484</v>
      </c>
      <c r="AY30" s="1072" t="s">
        <v>485</v>
      </c>
      <c r="AZ30" s="1072" t="s">
        <v>486</v>
      </c>
      <c r="BA30" s="1072" t="s">
        <v>487</v>
      </c>
      <c r="BB30" s="1072" t="s">
        <v>488</v>
      </c>
      <c r="BC30" s="1072" t="s">
        <v>489</v>
      </c>
      <c r="BD30" s="1072" t="s">
        <v>490</v>
      </c>
      <c r="BE30" s="1072" t="s">
        <v>491</v>
      </c>
      <c r="BF30" s="1072" t="s">
        <v>492</v>
      </c>
      <c r="BG30" s="1072" t="s">
        <v>493</v>
      </c>
      <c r="BH30" s="1072" t="s">
        <v>494</v>
      </c>
      <c r="BI30" s="758"/>
      <c r="BJ30" s="889"/>
      <c r="BK30" s="823"/>
      <c r="BL30" s="1139"/>
    </row>
    <row r="31" spans="1:64" s="758" customFormat="1" ht="15" customHeight="1" x14ac:dyDescent="0.35">
      <c r="Q31" s="758" t="s">
        <v>463</v>
      </c>
      <c r="U31" s="758" t="s">
        <v>466</v>
      </c>
      <c r="W31" s="758" t="s">
        <v>468</v>
      </c>
      <c r="X31" s="758" t="s">
        <v>469</v>
      </c>
      <c r="AA31" s="758" t="s">
        <v>257</v>
      </c>
      <c r="AB31" s="758" t="s">
        <v>1269</v>
      </c>
      <c r="AE31" s="758" t="s">
        <v>473</v>
      </c>
      <c r="AK31" s="758" t="s">
        <v>475</v>
      </c>
      <c r="AL31" s="758" t="s">
        <v>476</v>
      </c>
      <c r="AM31" s="758" t="s">
        <v>477</v>
      </c>
      <c r="AN31" s="758" t="s">
        <v>478</v>
      </c>
      <c r="AO31" s="758" t="s">
        <v>479</v>
      </c>
      <c r="AP31" s="758" t="s">
        <v>480</v>
      </c>
      <c r="AQ31" s="758" t="s">
        <v>481</v>
      </c>
      <c r="AR31" s="758" t="s">
        <v>482</v>
      </c>
      <c r="AS31" s="758" t="s">
        <v>483</v>
      </c>
      <c r="AT31" s="758" t="s">
        <v>484</v>
      </c>
      <c r="AU31" s="758" t="s">
        <v>485</v>
      </c>
      <c r="AV31" s="758" t="s">
        <v>486</v>
      </c>
      <c r="AW31" s="758" t="s">
        <v>487</v>
      </c>
      <c r="AX31" s="758" t="s">
        <v>488</v>
      </c>
      <c r="AY31" s="758" t="s">
        <v>489</v>
      </c>
      <c r="AZ31" s="758" t="s">
        <v>490</v>
      </c>
      <c r="BA31" s="758" t="s">
        <v>491</v>
      </c>
      <c r="BB31" s="758" t="s">
        <v>492</v>
      </c>
      <c r="BC31" s="758" t="s">
        <v>493</v>
      </c>
      <c r="BD31" s="758" t="s">
        <v>494</v>
      </c>
      <c r="BE31" s="758" t="s">
        <v>1270</v>
      </c>
      <c r="BF31" s="758" t="s">
        <v>1271</v>
      </c>
      <c r="BG31" s="758" t="s">
        <v>1272</v>
      </c>
      <c r="BH31" s="758" t="s">
        <v>1273</v>
      </c>
    </row>
    <row r="32" spans="1:64" s="1012" customFormat="1" ht="18.5" x14ac:dyDescent="0.35">
      <c r="A32" s="758"/>
      <c r="E32" s="1020"/>
      <c r="F32" s="1020"/>
      <c r="G32" s="1020"/>
      <c r="H32" s="1020"/>
      <c r="I32" s="1020"/>
      <c r="J32" s="1020"/>
      <c r="K32" s="1020"/>
      <c r="L32" s="1020"/>
      <c r="M32" s="1020"/>
      <c r="N32" s="1020"/>
      <c r="O32" s="1020"/>
      <c r="Q32" s="1020"/>
      <c r="R32" s="1020"/>
      <c r="U32" s="1020"/>
      <c r="V32" s="1020"/>
      <c r="W32" s="1020"/>
      <c r="X32" s="1020"/>
      <c r="Y32" s="1020"/>
      <c r="AB32" s="1020"/>
      <c r="AC32" s="1020"/>
      <c r="AG32" s="758"/>
      <c r="AH32" s="758"/>
      <c r="BI32" s="758"/>
    </row>
    <row r="33" spans="17:58" x14ac:dyDescent="0.35">
      <c r="AK33" s="928"/>
      <c r="AL33" s="1060"/>
      <c r="AM33" s="928"/>
      <c r="AN33" s="928"/>
      <c r="AO33" s="928"/>
      <c r="AP33" s="928"/>
      <c r="AQ33" s="928"/>
      <c r="AR33" s="928"/>
      <c r="AS33" s="928"/>
      <c r="AT33" s="928"/>
      <c r="AU33" s="928"/>
      <c r="AV33" s="928"/>
      <c r="AW33" s="928"/>
      <c r="AX33" s="928"/>
      <c r="AY33" s="928"/>
      <c r="AZ33" s="928"/>
      <c r="BA33" s="928"/>
      <c r="BB33" s="928"/>
      <c r="BC33" s="928"/>
      <c r="BD33" s="928"/>
      <c r="BE33" s="928"/>
      <c r="BF33" s="1060"/>
    </row>
    <row r="34" spans="17:58" x14ac:dyDescent="0.35">
      <c r="AK34" s="928"/>
      <c r="AL34" s="1060"/>
      <c r="AM34" s="928"/>
      <c r="AN34" s="928"/>
      <c r="AO34" s="928"/>
      <c r="AP34" s="928"/>
      <c r="AQ34" s="928"/>
      <c r="AR34" s="928"/>
      <c r="AS34" s="928"/>
      <c r="AT34" s="928"/>
      <c r="AU34" s="928"/>
      <c r="AV34" s="928"/>
      <c r="AW34" s="928"/>
      <c r="AX34" s="928"/>
      <c r="AY34" s="928"/>
      <c r="AZ34" s="928"/>
      <c r="BA34" s="928"/>
      <c r="BB34" s="928"/>
      <c r="BC34" s="928"/>
      <c r="BD34" s="928"/>
      <c r="BE34" s="928"/>
      <c r="BF34" s="1060"/>
    </row>
    <row r="35" spans="17:58" x14ac:dyDescent="0.35">
      <c r="AK35" s="928"/>
      <c r="AL35" s="1060"/>
      <c r="AM35" s="928"/>
      <c r="AN35" s="928"/>
      <c r="AO35" s="928"/>
      <c r="AP35" s="928"/>
      <c r="AQ35" s="928"/>
      <c r="AR35" s="928"/>
      <c r="AS35" s="928"/>
      <c r="AT35" s="928"/>
      <c r="AU35" s="928"/>
      <c r="AV35" s="928"/>
      <c r="AW35" s="928"/>
      <c r="AX35" s="928"/>
      <c r="AY35" s="928"/>
      <c r="AZ35" s="928"/>
      <c r="BA35" s="928"/>
      <c r="BB35" s="928"/>
      <c r="BC35" s="928"/>
      <c r="BD35" s="928"/>
      <c r="BE35" s="928"/>
      <c r="BF35" s="1060"/>
    </row>
    <row r="36" spans="17:58" x14ac:dyDescent="0.35">
      <c r="AK36" s="928"/>
      <c r="AL36" s="1060"/>
      <c r="AM36" s="928"/>
      <c r="AN36" s="928"/>
      <c r="AO36" s="928"/>
      <c r="AP36" s="928"/>
      <c r="AQ36" s="928"/>
      <c r="AR36" s="928"/>
      <c r="AS36" s="928"/>
      <c r="AT36" s="928"/>
      <c r="AU36" s="928"/>
      <c r="AV36" s="928"/>
      <c r="AW36" s="928"/>
      <c r="AX36" s="928"/>
      <c r="AY36" s="928"/>
      <c r="AZ36" s="928"/>
      <c r="BA36" s="928"/>
      <c r="BB36" s="928"/>
      <c r="BC36" s="928"/>
      <c r="BD36" s="928"/>
      <c r="BE36" s="928"/>
      <c r="BF36" s="1060"/>
    </row>
    <row r="37" spans="17:58" x14ac:dyDescent="0.35">
      <c r="AK37" s="928"/>
      <c r="AL37" s="1060"/>
      <c r="AM37" s="928"/>
      <c r="AN37" s="928"/>
      <c r="AO37" s="928"/>
      <c r="AP37" s="928"/>
      <c r="AQ37" s="928"/>
      <c r="AR37" s="928"/>
      <c r="AS37" s="928"/>
      <c r="AT37" s="928"/>
      <c r="AU37" s="928"/>
      <c r="AV37" s="928"/>
      <c r="AW37" s="928"/>
      <c r="AX37" s="928"/>
      <c r="AY37" s="928"/>
      <c r="AZ37" s="928"/>
      <c r="BA37" s="928"/>
      <c r="BB37" s="928"/>
      <c r="BC37" s="928"/>
      <c r="BD37" s="928"/>
      <c r="BE37" s="928"/>
      <c r="BF37" s="1060"/>
    </row>
    <row r="38" spans="17:58" x14ac:dyDescent="0.35">
      <c r="AK38" s="928"/>
      <c r="AL38" s="1060"/>
      <c r="AM38" s="928"/>
      <c r="AN38" s="928"/>
      <c r="AO38" s="928"/>
      <c r="AP38" s="928"/>
      <c r="AQ38" s="928"/>
      <c r="AR38" s="928"/>
      <c r="AS38" s="928"/>
      <c r="AT38" s="928"/>
      <c r="AU38" s="928"/>
      <c r="AV38" s="928"/>
      <c r="AW38" s="928"/>
      <c r="AX38" s="928"/>
      <c r="AY38" s="928"/>
      <c r="AZ38" s="928"/>
      <c r="BA38" s="928"/>
      <c r="BB38" s="928"/>
      <c r="BC38" s="928"/>
      <c r="BD38" s="928"/>
      <c r="BE38" s="928"/>
      <c r="BF38" s="1060"/>
    </row>
    <row r="39" spans="17:58" x14ac:dyDescent="0.35">
      <c r="AK39" s="928"/>
      <c r="AL39" s="1060"/>
      <c r="AM39" s="928"/>
      <c r="AN39" s="928"/>
      <c r="AO39" s="928"/>
      <c r="AP39" s="928"/>
      <c r="AQ39" s="928"/>
      <c r="AR39" s="928"/>
      <c r="AS39" s="928"/>
      <c r="AT39" s="928"/>
      <c r="AU39" s="928"/>
      <c r="AV39" s="928"/>
      <c r="AW39" s="928"/>
      <c r="AX39" s="928"/>
      <c r="AY39" s="928"/>
      <c r="AZ39" s="928"/>
      <c r="BA39" s="928"/>
      <c r="BB39" s="928"/>
      <c r="BC39" s="928"/>
      <c r="BD39" s="928"/>
      <c r="BE39" s="928"/>
      <c r="BF39" s="1060"/>
    </row>
    <row r="40" spans="17:58" x14ac:dyDescent="0.35">
      <c r="AK40" s="928"/>
      <c r="AL40" s="1060"/>
      <c r="AM40" s="1064"/>
      <c r="AN40" s="1065"/>
      <c r="AO40" s="1064"/>
      <c r="AP40" s="1065"/>
      <c r="AQ40" s="1066"/>
      <c r="AR40" s="928"/>
      <c r="AS40" s="928"/>
      <c r="AT40" s="928"/>
      <c r="AU40" s="928"/>
      <c r="AV40" s="928"/>
      <c r="AW40" s="928"/>
      <c r="AX40" s="928"/>
      <c r="AY40" s="928"/>
      <c r="AZ40" s="928"/>
      <c r="BA40" s="928"/>
      <c r="BB40" s="928"/>
      <c r="BC40" s="928"/>
      <c r="BD40" s="928"/>
      <c r="BE40" s="928"/>
      <c r="BF40" s="1060"/>
    </row>
    <row r="41" spans="17:58" x14ac:dyDescent="0.35">
      <c r="AK41" s="928"/>
      <c r="AL41" s="1060"/>
      <c r="AM41" s="1066"/>
      <c r="AN41" s="1066"/>
      <c r="AO41" s="1064"/>
      <c r="AP41" s="1066"/>
      <c r="AQ41" s="1066"/>
      <c r="AR41" s="1066"/>
      <c r="AS41" s="928"/>
      <c r="AT41" s="928"/>
      <c r="AU41" s="928"/>
      <c r="AV41" s="928"/>
      <c r="AW41" s="928"/>
      <c r="AX41" s="928"/>
      <c r="AY41" s="928"/>
      <c r="AZ41" s="928"/>
      <c r="BA41" s="928"/>
      <c r="BB41" s="928"/>
      <c r="BC41" s="928"/>
      <c r="BD41" s="928"/>
      <c r="BE41" s="928"/>
      <c r="BF41" s="1060"/>
    </row>
    <row r="42" spans="17:58" x14ac:dyDescent="0.35">
      <c r="AK42" s="928"/>
      <c r="AL42" s="1060"/>
      <c r="AM42" s="928"/>
      <c r="AN42" s="928"/>
      <c r="AO42" s="928"/>
      <c r="AP42" s="928"/>
      <c r="AQ42" s="928"/>
      <c r="AR42" s="928"/>
      <c r="AS42" s="928"/>
      <c r="AT42" s="928"/>
      <c r="AU42" s="928"/>
      <c r="AV42" s="928"/>
      <c r="AW42" s="928"/>
      <c r="AX42" s="928"/>
      <c r="AY42" s="928"/>
      <c r="AZ42" s="928"/>
      <c r="BA42" s="928"/>
      <c r="BB42" s="928"/>
      <c r="BC42" s="928"/>
      <c r="BD42" s="928"/>
      <c r="BE42" s="928"/>
      <c r="BF42" s="1060"/>
    </row>
    <row r="43" spans="17:58" x14ac:dyDescent="0.35">
      <c r="AK43" s="928"/>
      <c r="AL43" s="1060"/>
      <c r="AM43" s="928"/>
      <c r="AN43" s="928"/>
      <c r="AO43" s="928"/>
      <c r="AP43" s="928"/>
      <c r="AQ43" s="928"/>
      <c r="AR43" s="928"/>
      <c r="AS43" s="928"/>
      <c r="AT43" s="928"/>
      <c r="AU43" s="928"/>
      <c r="AV43" s="928"/>
      <c r="AW43" s="928"/>
      <c r="AX43" s="928"/>
      <c r="AY43" s="928"/>
      <c r="AZ43" s="928"/>
      <c r="BA43" s="928"/>
      <c r="BB43" s="928"/>
      <c r="BC43" s="928"/>
      <c r="BD43" s="928"/>
      <c r="BE43" s="928"/>
      <c r="BF43" s="1060"/>
    </row>
    <row r="44" spans="17:58" x14ac:dyDescent="0.35">
      <c r="Q44" s="750"/>
      <c r="R44" s="750"/>
      <c r="AK44" s="928"/>
      <c r="AL44" s="1060"/>
      <c r="AM44" s="928"/>
      <c r="AN44" s="928"/>
      <c r="AO44" s="928"/>
      <c r="AP44" s="928"/>
      <c r="AQ44" s="1066"/>
      <c r="AR44" s="928"/>
      <c r="AS44" s="928"/>
      <c r="AT44" s="928"/>
      <c r="AU44" s="928"/>
      <c r="AV44" s="928"/>
      <c r="AW44" s="928"/>
      <c r="AX44" s="928"/>
      <c r="AY44" s="928"/>
      <c r="AZ44" s="928"/>
      <c r="BA44" s="928"/>
      <c r="BB44" s="928"/>
      <c r="BC44" s="928"/>
      <c r="BD44" s="928"/>
      <c r="BE44" s="928"/>
      <c r="BF44" s="1060"/>
    </row>
    <row r="45" spans="17:58" x14ac:dyDescent="0.35">
      <c r="AK45" s="928"/>
      <c r="AL45" s="1060"/>
      <c r="AM45" s="928"/>
      <c r="AN45" s="928"/>
      <c r="AO45" s="928"/>
      <c r="AP45" s="928"/>
      <c r="AQ45" s="928"/>
      <c r="AR45" s="928"/>
      <c r="AS45" s="928"/>
      <c r="AT45" s="928"/>
      <c r="AU45" s="928"/>
      <c r="AV45" s="928"/>
      <c r="AW45" s="928"/>
      <c r="AX45" s="928"/>
      <c r="AY45" s="928"/>
      <c r="AZ45" s="928"/>
      <c r="BA45" s="928"/>
      <c r="BB45" s="928"/>
      <c r="BC45" s="928"/>
      <c r="BD45" s="928"/>
      <c r="BE45" s="928"/>
      <c r="BF45" s="1060"/>
    </row>
    <row r="46" spans="17:58" x14ac:dyDescent="0.35">
      <c r="AK46" s="928"/>
      <c r="AL46" s="1060"/>
      <c r="AM46" s="928"/>
      <c r="AN46" s="928"/>
      <c r="AO46" s="928"/>
      <c r="AP46" s="928"/>
      <c r="AQ46" s="928"/>
      <c r="AR46" s="928"/>
      <c r="AS46" s="928"/>
      <c r="AT46" s="928"/>
      <c r="AU46" s="928"/>
      <c r="AV46" s="928"/>
      <c r="AW46" s="928"/>
      <c r="AX46" s="928"/>
      <c r="AY46" s="928"/>
      <c r="AZ46" s="928"/>
      <c r="BA46" s="928"/>
      <c r="BB46" s="928"/>
      <c r="BC46" s="928"/>
      <c r="BD46" s="928"/>
      <c r="BE46" s="928"/>
      <c r="BF46" s="1060"/>
    </row>
    <row r="47" spans="17:58" x14ac:dyDescent="0.35">
      <c r="AK47" s="928"/>
      <c r="AL47" s="1060"/>
      <c r="AM47" s="928"/>
      <c r="AN47" s="928"/>
      <c r="AO47" s="928"/>
      <c r="AP47" s="928"/>
      <c r="AQ47" s="928"/>
      <c r="AR47" s="928"/>
      <c r="AS47" s="928"/>
      <c r="AT47" s="928"/>
      <c r="AU47" s="928"/>
      <c r="AV47" s="928"/>
      <c r="AW47" s="928"/>
      <c r="AX47" s="928"/>
      <c r="AY47" s="928"/>
      <c r="AZ47" s="928"/>
      <c r="BA47" s="928"/>
      <c r="BB47" s="928"/>
      <c r="BC47" s="928"/>
      <c r="BD47" s="928"/>
      <c r="BE47" s="928"/>
      <c r="BF47" s="1060"/>
    </row>
    <row r="48" spans="17:58" x14ac:dyDescent="0.35">
      <c r="AK48" s="928"/>
      <c r="AL48" s="1060"/>
      <c r="AM48" s="928"/>
      <c r="AN48" s="928"/>
      <c r="AO48" s="928"/>
      <c r="AP48" s="928"/>
      <c r="AQ48" s="928"/>
      <c r="AR48" s="928"/>
      <c r="AS48" s="928"/>
      <c r="AT48" s="928"/>
      <c r="AU48" s="928"/>
      <c r="AV48" s="928"/>
      <c r="AW48" s="928"/>
      <c r="AX48" s="928"/>
      <c r="AY48" s="928"/>
      <c r="AZ48" s="928"/>
      <c r="BA48" s="928"/>
      <c r="BB48" s="928"/>
      <c r="BC48" s="928"/>
      <c r="BD48" s="928"/>
      <c r="BE48" s="928"/>
      <c r="BF48" s="1060"/>
    </row>
    <row r="49" spans="37:58" x14ac:dyDescent="0.35">
      <c r="AK49" s="928"/>
      <c r="AL49" s="1060"/>
      <c r="AM49" s="928"/>
      <c r="AN49" s="928"/>
      <c r="AO49" s="928"/>
      <c r="AP49" s="928"/>
      <c r="AQ49" s="928"/>
      <c r="AR49" s="928"/>
      <c r="AS49" s="928"/>
      <c r="AT49" s="928"/>
      <c r="AU49" s="928"/>
      <c r="AV49" s="928"/>
      <c r="AW49" s="928"/>
      <c r="AX49" s="928"/>
      <c r="AY49" s="928"/>
      <c r="AZ49" s="928"/>
      <c r="BA49" s="928"/>
      <c r="BB49" s="928"/>
      <c r="BC49" s="928"/>
      <c r="BD49" s="928"/>
      <c r="BE49" s="928"/>
      <c r="BF49" s="1060"/>
    </row>
    <row r="50" spans="37:58" x14ac:dyDescent="0.35">
      <c r="AK50" s="928"/>
      <c r="AL50" s="1060"/>
      <c r="AM50" s="928"/>
      <c r="AN50" s="928"/>
      <c r="AO50" s="928"/>
      <c r="AP50" s="928"/>
      <c r="AQ50" s="928"/>
      <c r="AR50" s="928"/>
      <c r="AS50" s="928"/>
      <c r="AT50" s="928"/>
      <c r="AU50" s="928"/>
      <c r="AV50" s="928"/>
      <c r="AW50" s="928"/>
      <c r="AX50" s="928"/>
      <c r="AY50" s="928"/>
      <c r="AZ50" s="928"/>
      <c r="BA50" s="928"/>
      <c r="BB50" s="928"/>
      <c r="BC50" s="928"/>
      <c r="BD50" s="928"/>
      <c r="BE50" s="928"/>
      <c r="BF50" s="1060"/>
    </row>
    <row r="51" spans="37:58" x14ac:dyDescent="0.35">
      <c r="AK51" s="928"/>
      <c r="AL51" s="1060"/>
      <c r="AM51" s="928"/>
      <c r="AN51" s="928"/>
      <c r="AO51" s="928"/>
      <c r="AP51" s="928"/>
      <c r="AQ51" s="928"/>
      <c r="AR51" s="928"/>
      <c r="AS51" s="928"/>
      <c r="AT51" s="928"/>
      <c r="AU51" s="928"/>
      <c r="AV51" s="928"/>
      <c r="AW51" s="928"/>
      <c r="AX51" s="928"/>
      <c r="AY51" s="928"/>
      <c r="AZ51" s="928"/>
      <c r="BA51" s="928"/>
      <c r="BB51" s="928"/>
      <c r="BC51" s="928"/>
      <c r="BD51" s="1068"/>
      <c r="BE51" s="1069"/>
      <c r="BF51" s="1060"/>
    </row>
    <row r="52" spans="37:58" x14ac:dyDescent="0.35">
      <c r="AK52" s="928"/>
      <c r="AL52" s="1060"/>
      <c r="AM52" s="928"/>
      <c r="AN52" s="928"/>
      <c r="AO52" s="928"/>
      <c r="AP52" s="928"/>
      <c r="AQ52" s="928"/>
      <c r="AR52" s="928"/>
      <c r="AS52" s="928"/>
      <c r="AT52" s="928"/>
      <c r="AU52" s="928"/>
      <c r="AV52" s="928"/>
      <c r="AW52" s="928"/>
      <c r="AX52" s="928"/>
      <c r="AY52" s="928"/>
      <c r="AZ52" s="928"/>
      <c r="BA52" s="928"/>
      <c r="BB52" s="928"/>
      <c r="BC52" s="928"/>
      <c r="BD52" s="1068"/>
      <c r="BE52" s="1068"/>
      <c r="BF52" s="1060"/>
    </row>
    <row r="53" spans="37:58" x14ac:dyDescent="0.35">
      <c r="AK53" s="928"/>
      <c r="AL53" s="1060"/>
      <c r="AM53" s="928"/>
      <c r="AN53" s="928"/>
      <c r="AO53" s="928"/>
      <c r="AP53" s="928"/>
      <c r="AQ53" s="928"/>
      <c r="AR53" s="928"/>
      <c r="AS53" s="928"/>
      <c r="AT53" s="928"/>
      <c r="AU53" s="928"/>
      <c r="AV53" s="928"/>
      <c r="AW53" s="928"/>
      <c r="AX53" s="928"/>
      <c r="AY53" s="928"/>
      <c r="AZ53" s="928"/>
      <c r="BA53" s="928"/>
      <c r="BB53" s="928"/>
      <c r="BC53" s="928"/>
      <c r="BD53" s="1068"/>
      <c r="BE53" s="1068"/>
      <c r="BF53" s="1060"/>
    </row>
    <row r="54" spans="37:58" x14ac:dyDescent="0.35">
      <c r="AK54" s="928"/>
      <c r="AL54" s="1060"/>
      <c r="AM54" s="928"/>
      <c r="AN54" s="928"/>
      <c r="AO54" s="928"/>
      <c r="AP54" s="928"/>
      <c r="AQ54" s="928"/>
      <c r="AR54" s="928"/>
      <c r="AS54" s="928"/>
      <c r="AT54" s="928"/>
      <c r="AU54" s="928"/>
      <c r="AV54" s="928"/>
      <c r="AW54" s="928"/>
      <c r="AX54" s="928"/>
      <c r="AY54" s="928"/>
      <c r="AZ54" s="928"/>
      <c r="BA54" s="928"/>
      <c r="BB54" s="928"/>
      <c r="BC54" s="928"/>
      <c r="BD54" s="1068"/>
      <c r="BE54" s="1070"/>
      <c r="BF54" s="1060"/>
    </row>
    <row r="55" spans="37:58" x14ac:dyDescent="0.35">
      <c r="AK55" s="928"/>
      <c r="AL55" s="1060"/>
      <c r="AM55" s="928"/>
      <c r="AN55" s="928"/>
      <c r="AO55" s="928"/>
      <c r="AP55" s="928"/>
      <c r="AQ55" s="928"/>
      <c r="AR55" s="928"/>
      <c r="AS55" s="928"/>
      <c r="AT55" s="928"/>
      <c r="AU55" s="928"/>
      <c r="AV55" s="928"/>
      <c r="AW55" s="928"/>
      <c r="AX55" s="928"/>
      <c r="AY55" s="928"/>
      <c r="AZ55" s="928"/>
      <c r="BA55" s="928"/>
      <c r="BB55" s="928"/>
      <c r="BC55" s="928"/>
      <c r="BD55" s="1068"/>
      <c r="BE55" s="1070"/>
      <c r="BF55" s="1060"/>
    </row>
    <row r="56" spans="37:58" x14ac:dyDescent="0.35">
      <c r="AK56" s="928"/>
      <c r="AL56" s="1060"/>
      <c r="AM56" s="928"/>
      <c r="AN56" s="928"/>
      <c r="AO56" s="928"/>
      <c r="AP56" s="928"/>
      <c r="AQ56" s="928"/>
      <c r="AR56" s="928"/>
      <c r="AS56" s="928"/>
      <c r="AT56" s="928"/>
      <c r="AU56" s="928"/>
      <c r="AV56" s="928"/>
      <c r="AW56" s="928"/>
      <c r="AX56" s="928"/>
      <c r="AY56" s="928"/>
      <c r="AZ56" s="928"/>
      <c r="BA56" s="928"/>
      <c r="BB56" s="928"/>
      <c r="BC56" s="928"/>
      <c r="BD56" s="1068"/>
      <c r="BE56" s="1070"/>
      <c r="BF56" s="1060"/>
    </row>
    <row r="57" spans="37:58" x14ac:dyDescent="0.35">
      <c r="AK57" s="928"/>
      <c r="AL57" s="1060"/>
      <c r="AM57" s="928"/>
      <c r="AN57" s="928"/>
      <c r="AO57" s="928"/>
      <c r="AP57" s="928"/>
      <c r="AQ57" s="928"/>
      <c r="AR57" s="928"/>
      <c r="AS57" s="928"/>
      <c r="AT57" s="928"/>
      <c r="AU57" s="928"/>
      <c r="AV57" s="928"/>
      <c r="AW57" s="928"/>
      <c r="AX57" s="928"/>
      <c r="AY57" s="928"/>
      <c r="AZ57" s="928"/>
      <c r="BA57" s="928"/>
      <c r="BB57" s="928"/>
      <c r="BC57" s="928"/>
      <c r="BD57" s="1068"/>
      <c r="BE57" s="1068"/>
      <c r="BF57" s="1060"/>
    </row>
    <row r="58" spans="37:58" x14ac:dyDescent="0.35">
      <c r="AK58" s="928"/>
      <c r="AL58" s="1060"/>
      <c r="AM58" s="928"/>
      <c r="AN58" s="928"/>
      <c r="AO58" s="928"/>
      <c r="AP58" s="928"/>
      <c r="AQ58" s="928"/>
      <c r="AR58" s="928"/>
      <c r="AS58" s="928"/>
      <c r="AT58" s="928"/>
      <c r="AU58" s="928"/>
      <c r="AV58" s="928"/>
      <c r="AW58" s="928"/>
      <c r="AX58" s="928"/>
      <c r="AY58" s="928"/>
      <c r="AZ58" s="928"/>
      <c r="BA58" s="928"/>
      <c r="BB58" s="928"/>
      <c r="BC58" s="928"/>
      <c r="BD58" s="1068"/>
      <c r="BE58" s="1070"/>
      <c r="BF58" s="1060"/>
    </row>
    <row r="59" spans="37:58" x14ac:dyDescent="0.35">
      <c r="AK59" s="928"/>
      <c r="AL59" s="1060"/>
      <c r="AM59" s="928"/>
      <c r="AN59" s="928"/>
      <c r="AO59" s="928"/>
      <c r="AP59" s="928"/>
      <c r="AQ59" s="928"/>
      <c r="AR59" s="928"/>
      <c r="AS59" s="928"/>
      <c r="AT59" s="928"/>
      <c r="AU59" s="928"/>
      <c r="AV59" s="928"/>
      <c r="AW59" s="928"/>
      <c r="AX59" s="928"/>
      <c r="AY59" s="928"/>
      <c r="AZ59" s="928"/>
      <c r="BA59" s="928"/>
      <c r="BB59" s="928"/>
      <c r="BC59" s="928"/>
      <c r="BD59" s="1068"/>
      <c r="BE59" s="1068"/>
      <c r="BF59" s="1060"/>
    </row>
    <row r="60" spans="37:58" x14ac:dyDescent="0.35">
      <c r="AK60" s="928"/>
      <c r="AL60" s="1060"/>
      <c r="AM60" s="928"/>
      <c r="AN60" s="928"/>
      <c r="AO60" s="928"/>
      <c r="AP60" s="928"/>
      <c r="AQ60" s="928"/>
      <c r="AR60" s="928"/>
      <c r="AS60" s="928"/>
      <c r="AT60" s="928"/>
      <c r="AU60" s="928"/>
      <c r="AV60" s="928"/>
      <c r="AW60" s="928"/>
      <c r="AX60" s="928"/>
      <c r="AY60" s="928"/>
      <c r="AZ60" s="928"/>
      <c r="BA60" s="928"/>
      <c r="BB60" s="928"/>
      <c r="BC60" s="928"/>
      <c r="BD60" s="1068"/>
      <c r="BE60" s="1068"/>
      <c r="BF60" s="1060"/>
    </row>
    <row r="61" spans="37:58" x14ac:dyDescent="0.35">
      <c r="AK61" s="928"/>
      <c r="AL61" s="1060"/>
      <c r="AM61" s="928"/>
      <c r="AN61" s="928"/>
      <c r="AO61" s="928"/>
      <c r="AP61" s="928"/>
      <c r="AQ61" s="928"/>
      <c r="AR61" s="928"/>
      <c r="AS61" s="928"/>
      <c r="AT61" s="928"/>
      <c r="AU61" s="928"/>
      <c r="AV61" s="928"/>
      <c r="AW61" s="928"/>
      <c r="AX61" s="928"/>
      <c r="AY61" s="928"/>
      <c r="AZ61" s="928"/>
      <c r="BA61" s="928"/>
      <c r="BB61" s="928"/>
      <c r="BC61" s="928"/>
      <c r="BD61" s="928"/>
      <c r="BE61" s="928"/>
      <c r="BF61" s="1060"/>
    </row>
    <row r="62" spans="37:58" x14ac:dyDescent="0.35">
      <c r="AK62" s="928"/>
      <c r="AL62" s="1060"/>
      <c r="AM62" s="928"/>
      <c r="AN62" s="928"/>
      <c r="AO62" s="928"/>
      <c r="AP62" s="928"/>
      <c r="AQ62" s="928"/>
      <c r="AR62" s="928"/>
      <c r="AS62" s="928"/>
      <c r="AT62" s="928"/>
      <c r="AU62" s="928"/>
      <c r="AV62" s="928"/>
      <c r="AW62" s="928"/>
      <c r="AX62" s="928"/>
      <c r="AY62" s="928"/>
      <c r="AZ62" s="928"/>
      <c r="BA62" s="928"/>
      <c r="BB62" s="928"/>
      <c r="BC62" s="928"/>
      <c r="BD62" s="928"/>
      <c r="BE62" s="928"/>
      <c r="BF62" s="1060"/>
    </row>
    <row r="63" spans="37:58" x14ac:dyDescent="0.35">
      <c r="AK63" s="928"/>
      <c r="AL63" s="1060"/>
      <c r="AM63" s="928"/>
      <c r="AN63" s="928"/>
      <c r="AO63" s="928"/>
      <c r="AP63" s="928"/>
      <c r="AQ63" s="928"/>
      <c r="AR63" s="928"/>
      <c r="AS63" s="928"/>
      <c r="AT63" s="928"/>
      <c r="AU63" s="928"/>
      <c r="AV63" s="928"/>
      <c r="AW63" s="928"/>
      <c r="AX63" s="928"/>
      <c r="AY63" s="928"/>
      <c r="AZ63" s="928"/>
      <c r="BA63" s="928"/>
      <c r="BB63" s="928"/>
      <c r="BC63" s="928"/>
      <c r="BD63" s="928"/>
      <c r="BE63" s="928"/>
      <c r="BF63" s="1060"/>
    </row>
    <row r="64" spans="37:58" x14ac:dyDescent="0.35">
      <c r="AK64" s="928"/>
      <c r="AL64" s="1060"/>
      <c r="AM64" s="928"/>
      <c r="AN64" s="928"/>
      <c r="AO64" s="928"/>
      <c r="AP64" s="928"/>
      <c r="AQ64" s="928"/>
      <c r="AR64" s="928"/>
      <c r="AS64" s="928"/>
      <c r="AT64" s="928"/>
      <c r="AU64" s="928"/>
      <c r="AV64" s="928"/>
      <c r="AW64" s="928"/>
      <c r="AX64" s="928"/>
      <c r="AY64" s="928"/>
      <c r="AZ64" s="928"/>
      <c r="BA64" s="928"/>
      <c r="BB64" s="928"/>
      <c r="BC64" s="928"/>
      <c r="BD64" s="928"/>
      <c r="BE64" s="928"/>
      <c r="BF64" s="1060"/>
    </row>
    <row r="65" spans="37:58" x14ac:dyDescent="0.35">
      <c r="AK65" s="928"/>
      <c r="AL65" s="1060"/>
      <c r="AM65" s="928"/>
      <c r="AN65" s="928"/>
      <c r="AO65" s="928"/>
      <c r="AP65" s="928"/>
      <c r="AQ65" s="928"/>
      <c r="AR65" s="928"/>
      <c r="AS65" s="928"/>
      <c r="AT65" s="928"/>
      <c r="AU65" s="928"/>
      <c r="AV65" s="928"/>
      <c r="AW65" s="928"/>
      <c r="AX65" s="928"/>
      <c r="AY65" s="928"/>
      <c r="AZ65" s="928"/>
      <c r="BA65" s="928"/>
      <c r="BB65" s="928"/>
      <c r="BC65" s="928"/>
      <c r="BD65" s="928"/>
      <c r="BE65" s="928"/>
      <c r="BF65" s="1060"/>
    </row>
    <row r="66" spans="37:58" x14ac:dyDescent="0.35">
      <c r="AK66" s="928"/>
      <c r="AL66" s="1060"/>
      <c r="AM66" s="928"/>
      <c r="AN66" s="928"/>
      <c r="AO66" s="928"/>
      <c r="AP66" s="928"/>
      <c r="AQ66" s="928"/>
      <c r="AR66" s="928"/>
      <c r="AS66" s="928"/>
      <c r="AT66" s="928"/>
      <c r="AU66" s="928"/>
      <c r="AV66" s="928"/>
      <c r="AW66" s="928"/>
      <c r="AX66" s="928"/>
      <c r="AY66" s="928"/>
      <c r="AZ66" s="928"/>
      <c r="BA66" s="928"/>
      <c r="BB66" s="928"/>
      <c r="BC66" s="928"/>
      <c r="BD66" s="928"/>
      <c r="BE66" s="928"/>
      <c r="BF66" s="1060"/>
    </row>
    <row r="67" spans="37:58" x14ac:dyDescent="0.35">
      <c r="AK67" s="928"/>
      <c r="AL67" s="1060"/>
      <c r="AM67" s="928"/>
      <c r="AN67" s="928"/>
      <c r="AO67" s="928"/>
      <c r="AP67" s="928"/>
      <c r="AQ67" s="928"/>
      <c r="AR67" s="928"/>
      <c r="AS67" s="928"/>
      <c r="AT67" s="928"/>
      <c r="AU67" s="928"/>
      <c r="AV67" s="928"/>
      <c r="AW67" s="928"/>
      <c r="AX67" s="928"/>
      <c r="AY67" s="928"/>
      <c r="AZ67" s="928"/>
      <c r="BA67" s="928"/>
      <c r="BB67" s="928"/>
      <c r="BC67" s="928"/>
      <c r="BD67" s="928"/>
      <c r="BE67" s="928"/>
      <c r="BF67" s="1060"/>
    </row>
    <row r="68" spans="37:58" x14ac:dyDescent="0.35">
      <c r="AK68" s="928"/>
      <c r="AL68" s="1060"/>
      <c r="AM68" s="928"/>
      <c r="AN68" s="928"/>
      <c r="AO68" s="928"/>
      <c r="AP68" s="928"/>
      <c r="AQ68" s="928"/>
      <c r="AR68" s="928"/>
      <c r="AS68" s="928"/>
      <c r="AT68" s="928"/>
      <c r="AU68" s="928"/>
      <c r="AV68" s="928"/>
      <c r="AW68" s="928"/>
      <c r="AX68" s="928"/>
      <c r="AY68" s="928"/>
      <c r="AZ68" s="928"/>
      <c r="BA68" s="928"/>
      <c r="BB68" s="928"/>
      <c r="BC68" s="928"/>
      <c r="BD68" s="928"/>
      <c r="BE68" s="928"/>
      <c r="BF68" s="1060"/>
    </row>
    <row r="69" spans="37:58" x14ac:dyDescent="0.35">
      <c r="AK69" s="928"/>
      <c r="AL69" s="1060"/>
      <c r="AM69" s="928"/>
      <c r="AN69" s="928"/>
      <c r="AO69" s="928"/>
      <c r="AP69" s="928"/>
      <c r="AQ69" s="928"/>
      <c r="AR69" s="928"/>
      <c r="AS69" s="928"/>
      <c r="AT69" s="928"/>
      <c r="AU69" s="928"/>
      <c r="AV69" s="928"/>
      <c r="AW69" s="928"/>
      <c r="AX69" s="928"/>
      <c r="AY69" s="928"/>
      <c r="AZ69" s="928"/>
      <c r="BA69" s="928"/>
      <c r="BB69" s="928"/>
      <c r="BC69" s="928"/>
      <c r="BD69" s="928"/>
      <c r="BE69" s="928"/>
      <c r="BF69" s="1060"/>
    </row>
    <row r="70" spans="37:58" x14ac:dyDescent="0.35">
      <c r="AK70" s="928"/>
      <c r="AL70" s="1060"/>
      <c r="AM70" s="928"/>
      <c r="AN70" s="928"/>
      <c r="AO70" s="928"/>
      <c r="AP70" s="928"/>
      <c r="AQ70" s="928"/>
      <c r="AR70" s="928"/>
      <c r="AS70" s="928"/>
      <c r="AT70" s="928"/>
      <c r="AU70" s="928"/>
      <c r="AV70" s="928"/>
      <c r="AW70" s="928"/>
      <c r="AX70" s="928"/>
      <c r="AY70" s="928"/>
      <c r="AZ70" s="928"/>
      <c r="BA70" s="928"/>
      <c r="BB70" s="928"/>
      <c r="BC70" s="928"/>
      <c r="BD70" s="928"/>
      <c r="BE70" s="928"/>
      <c r="BF70" s="1060"/>
    </row>
    <row r="71" spans="37:58" x14ac:dyDescent="0.35">
      <c r="AK71" s="928"/>
      <c r="AL71" s="1060"/>
      <c r="AM71" s="928"/>
      <c r="AN71" s="928"/>
      <c r="AO71" s="928"/>
      <c r="AP71" s="928"/>
      <c r="AQ71" s="928"/>
      <c r="AR71" s="928"/>
      <c r="AS71" s="928"/>
      <c r="AT71" s="928"/>
      <c r="AU71" s="928"/>
      <c r="AV71" s="928"/>
      <c r="AW71" s="928"/>
      <c r="AX71" s="928"/>
      <c r="AY71" s="928"/>
      <c r="AZ71" s="928"/>
      <c r="BA71" s="928"/>
      <c r="BB71" s="928"/>
      <c r="BC71" s="928"/>
      <c r="BD71" s="928"/>
      <c r="BE71" s="928"/>
      <c r="BF71" s="1060"/>
    </row>
    <row r="72" spans="37:58" x14ac:dyDescent="0.35">
      <c r="AK72" s="928"/>
      <c r="AL72" s="1060"/>
      <c r="AM72" s="928"/>
      <c r="AN72" s="928"/>
      <c r="AO72" s="928"/>
      <c r="AP72" s="928"/>
      <c r="AQ72" s="928"/>
      <c r="AR72" s="928"/>
      <c r="AS72" s="928"/>
      <c r="AT72" s="928"/>
      <c r="AU72" s="928"/>
      <c r="AV72" s="928"/>
      <c r="AW72" s="928"/>
      <c r="AX72" s="928"/>
      <c r="AY72" s="928"/>
      <c r="AZ72" s="928"/>
      <c r="BA72" s="928"/>
      <c r="BB72" s="928"/>
      <c r="BC72" s="928"/>
      <c r="BD72" s="928"/>
      <c r="BE72" s="928"/>
      <c r="BF72" s="1060"/>
    </row>
    <row r="73" spans="37:58" x14ac:dyDescent="0.35">
      <c r="AK73" s="928"/>
      <c r="AL73" s="1060"/>
      <c r="AM73" s="928"/>
      <c r="AN73" s="928"/>
      <c r="AO73" s="928"/>
      <c r="AP73" s="928"/>
      <c r="AQ73" s="928"/>
      <c r="AR73" s="928"/>
      <c r="AS73" s="928"/>
      <c r="AT73" s="928"/>
      <c r="AU73" s="928"/>
      <c r="AV73" s="928"/>
      <c r="AW73" s="928"/>
      <c r="AX73" s="928"/>
      <c r="AY73" s="928"/>
      <c r="AZ73" s="928"/>
      <c r="BA73" s="928"/>
      <c r="BB73" s="928"/>
      <c r="BC73" s="928"/>
      <c r="BD73" s="928"/>
      <c r="BE73" s="928"/>
      <c r="BF73" s="1060"/>
    </row>
    <row r="74" spans="37:58" x14ac:dyDescent="0.35">
      <c r="AK74" s="928"/>
      <c r="AL74" s="1060"/>
      <c r="AM74" s="928"/>
      <c r="AN74" s="928"/>
      <c r="AO74" s="928"/>
      <c r="AP74" s="928"/>
      <c r="AQ74" s="928"/>
      <c r="AR74" s="928"/>
      <c r="AS74" s="928"/>
      <c r="AT74" s="928"/>
      <c r="AU74" s="928"/>
      <c r="AV74" s="928"/>
      <c r="AW74" s="928"/>
      <c r="AX74" s="928"/>
      <c r="AY74" s="928"/>
      <c r="AZ74" s="928"/>
      <c r="BA74" s="928"/>
      <c r="BB74" s="928"/>
      <c r="BC74" s="928"/>
      <c r="BD74" s="928"/>
      <c r="BE74" s="928"/>
      <c r="BF74" s="1060"/>
    </row>
    <row r="75" spans="37:58" x14ac:dyDescent="0.35">
      <c r="AK75" s="928"/>
      <c r="AL75" s="1060"/>
      <c r="AM75" s="928"/>
      <c r="AN75" s="928"/>
      <c r="AO75" s="928"/>
      <c r="AP75" s="928"/>
      <c r="AQ75" s="928"/>
      <c r="AR75" s="928"/>
      <c r="AS75" s="928"/>
      <c r="AT75" s="928"/>
      <c r="AU75" s="928"/>
      <c r="AV75" s="928"/>
      <c r="AW75" s="928"/>
      <c r="AX75" s="928"/>
      <c r="AY75" s="928"/>
      <c r="AZ75" s="928"/>
      <c r="BA75" s="928"/>
      <c r="BB75" s="928"/>
      <c r="BC75" s="928"/>
      <c r="BD75" s="928"/>
      <c r="BE75" s="928"/>
      <c r="BF75" s="1060"/>
    </row>
    <row r="76" spans="37:58" x14ac:dyDescent="0.35">
      <c r="AK76" s="928"/>
      <c r="AL76" s="1060"/>
      <c r="AM76" s="928"/>
      <c r="AN76" s="928"/>
      <c r="AO76" s="928"/>
      <c r="AP76" s="928"/>
      <c r="AQ76" s="928"/>
      <c r="AR76" s="928"/>
      <c r="AS76" s="928"/>
      <c r="AT76" s="928"/>
      <c r="AU76" s="928"/>
      <c r="AV76" s="928"/>
      <c r="AW76" s="928"/>
      <c r="AX76" s="928"/>
      <c r="AY76" s="928"/>
      <c r="AZ76" s="928"/>
      <c r="BA76" s="928"/>
      <c r="BB76" s="928"/>
      <c r="BC76" s="928"/>
      <c r="BD76" s="928"/>
      <c r="BE76" s="928"/>
      <c r="BF76" s="1060"/>
    </row>
    <row r="77" spans="37:58" x14ac:dyDescent="0.35">
      <c r="AK77" s="928"/>
      <c r="AL77" s="1060"/>
      <c r="AM77" s="928"/>
      <c r="AN77" s="928"/>
      <c r="AO77" s="928"/>
      <c r="AP77" s="928"/>
      <c r="AQ77" s="928"/>
      <c r="AR77" s="928"/>
      <c r="AS77" s="928"/>
      <c r="AT77" s="928"/>
      <c r="AU77" s="928"/>
      <c r="AV77" s="928"/>
      <c r="AW77" s="928"/>
      <c r="AX77" s="928"/>
      <c r="AY77" s="928"/>
      <c r="AZ77" s="928"/>
      <c r="BA77" s="928"/>
      <c r="BB77" s="928"/>
      <c r="BC77" s="928"/>
      <c r="BD77" s="928"/>
      <c r="BE77" s="928"/>
      <c r="BF77" s="1060"/>
    </row>
    <row r="78" spans="37:58" x14ac:dyDescent="0.35">
      <c r="AK78" s="928"/>
      <c r="AL78" s="1060"/>
      <c r="AM78" s="928"/>
      <c r="AN78" s="928"/>
      <c r="AO78" s="928"/>
      <c r="AP78" s="928"/>
      <c r="AQ78" s="928"/>
      <c r="AR78" s="928"/>
      <c r="AS78" s="928"/>
      <c r="AT78" s="928"/>
      <c r="AU78" s="928"/>
      <c r="AV78" s="928"/>
      <c r="AW78" s="928"/>
      <c r="AX78" s="928"/>
      <c r="AY78" s="928"/>
      <c r="AZ78" s="928"/>
      <c r="BA78" s="928"/>
      <c r="BB78" s="928"/>
      <c r="BC78" s="928"/>
      <c r="BD78" s="928"/>
      <c r="BE78" s="928"/>
      <c r="BF78" s="1060"/>
    </row>
    <row r="79" spans="37:58" x14ac:dyDescent="0.35">
      <c r="AK79" s="928"/>
      <c r="AL79" s="1060"/>
      <c r="AM79" s="928"/>
      <c r="AN79" s="928"/>
      <c r="AO79" s="928"/>
      <c r="AP79" s="928"/>
      <c r="AQ79" s="928"/>
      <c r="AR79" s="928"/>
      <c r="AS79" s="928"/>
      <c r="AT79" s="928"/>
      <c r="AU79" s="928"/>
      <c r="AV79" s="928"/>
      <c r="AW79" s="928"/>
      <c r="AX79" s="928"/>
      <c r="AY79" s="928"/>
      <c r="AZ79" s="928"/>
      <c r="BA79" s="928"/>
      <c r="BB79" s="928"/>
      <c r="BC79" s="928"/>
      <c r="BD79" s="928"/>
      <c r="BE79" s="928"/>
      <c r="BF79" s="1060"/>
    </row>
    <row r="80" spans="37:58" x14ac:dyDescent="0.35">
      <c r="AK80" s="928"/>
      <c r="AL80" s="1060"/>
      <c r="AM80" s="928"/>
      <c r="AN80" s="928"/>
      <c r="AO80" s="928"/>
      <c r="AP80" s="928"/>
      <c r="AQ80" s="928"/>
      <c r="AR80" s="928"/>
      <c r="AS80" s="928"/>
      <c r="AT80" s="928"/>
      <c r="AU80" s="928"/>
      <c r="AV80" s="928"/>
      <c r="AW80" s="928"/>
      <c r="AX80" s="928"/>
      <c r="AY80" s="928"/>
      <c r="AZ80" s="928"/>
      <c r="BA80" s="928"/>
      <c r="BB80" s="928"/>
      <c r="BC80" s="928"/>
      <c r="BD80" s="928"/>
      <c r="BE80" s="928"/>
      <c r="BF80" s="1060"/>
    </row>
    <row r="81" spans="37:58" x14ac:dyDescent="0.35">
      <c r="AK81" s="928"/>
      <c r="AL81" s="1060"/>
      <c r="AM81" s="928"/>
      <c r="AN81" s="928"/>
      <c r="AO81" s="928"/>
      <c r="AP81" s="928"/>
      <c r="AQ81" s="928"/>
      <c r="AR81" s="928"/>
      <c r="AS81" s="928"/>
      <c r="AT81" s="928"/>
      <c r="AU81" s="928"/>
      <c r="AV81" s="928"/>
      <c r="AW81" s="928"/>
      <c r="AX81" s="928"/>
      <c r="AY81" s="928"/>
      <c r="AZ81" s="928"/>
      <c r="BA81" s="928"/>
      <c r="BB81" s="928"/>
      <c r="BC81" s="928"/>
      <c r="BD81" s="928"/>
      <c r="BE81" s="928"/>
      <c r="BF81" s="1060"/>
    </row>
    <row r="82" spans="37:58" x14ac:dyDescent="0.35">
      <c r="AK82" s="928"/>
      <c r="AL82" s="1060"/>
      <c r="AM82" s="928"/>
      <c r="AN82" s="928"/>
      <c r="AO82" s="928"/>
      <c r="AP82" s="928"/>
      <c r="AQ82" s="928"/>
      <c r="AR82" s="928"/>
      <c r="AS82" s="928"/>
      <c r="AT82" s="928"/>
      <c r="AU82" s="928"/>
      <c r="AV82" s="928"/>
      <c r="AW82" s="928"/>
      <c r="AX82" s="928"/>
      <c r="AY82" s="928"/>
      <c r="AZ82" s="928"/>
      <c r="BA82" s="928"/>
      <c r="BB82" s="928"/>
      <c r="BC82" s="928"/>
      <c r="BD82" s="928"/>
      <c r="BE82" s="928"/>
      <c r="BF82" s="1060"/>
    </row>
    <row r="83" spans="37:58" x14ac:dyDescent="0.35">
      <c r="AK83" s="928"/>
      <c r="AL83" s="1060"/>
      <c r="AM83" s="928"/>
      <c r="AN83" s="928"/>
      <c r="AO83" s="928"/>
      <c r="AP83" s="928"/>
      <c r="AQ83" s="928"/>
      <c r="AR83" s="928"/>
      <c r="AS83" s="928"/>
      <c r="AT83" s="928"/>
      <c r="AU83" s="928"/>
      <c r="AV83" s="928"/>
      <c r="AW83" s="928"/>
      <c r="AX83" s="928"/>
      <c r="AY83" s="928"/>
      <c r="AZ83" s="928"/>
      <c r="BA83" s="928"/>
      <c r="BB83" s="928"/>
      <c r="BC83" s="928"/>
      <c r="BD83" s="928"/>
      <c r="BE83" s="928"/>
      <c r="BF83" s="1060"/>
    </row>
    <row r="84" spans="37:58" x14ac:dyDescent="0.35">
      <c r="AK84" s="928"/>
      <c r="AL84" s="1060"/>
      <c r="AM84" s="928"/>
      <c r="AN84" s="928"/>
      <c r="AO84" s="928"/>
      <c r="AP84" s="928"/>
      <c r="AQ84" s="928"/>
      <c r="AR84" s="928"/>
      <c r="AS84" s="928"/>
      <c r="AT84" s="928"/>
      <c r="AU84" s="928"/>
      <c r="AV84" s="928"/>
      <c r="AW84" s="928"/>
      <c r="AX84" s="928"/>
      <c r="AY84" s="928"/>
      <c r="AZ84" s="928"/>
      <c r="BA84" s="928"/>
      <c r="BB84" s="928"/>
      <c r="BC84" s="928"/>
      <c r="BD84" s="928"/>
      <c r="BE84" s="928"/>
      <c r="BF84" s="1060"/>
    </row>
    <row r="85" spans="37:58" x14ac:dyDescent="0.35">
      <c r="AK85" s="928"/>
      <c r="AL85" s="1060"/>
      <c r="AM85" s="928"/>
      <c r="AN85" s="928"/>
      <c r="AO85" s="928"/>
      <c r="AP85" s="928"/>
      <c r="AQ85" s="928"/>
      <c r="AR85" s="928"/>
      <c r="AS85" s="928"/>
      <c r="AT85" s="928"/>
      <c r="AU85" s="928"/>
      <c r="AV85" s="928"/>
      <c r="AW85" s="928"/>
      <c r="AX85" s="928"/>
      <c r="AY85" s="928"/>
      <c r="AZ85" s="928"/>
      <c r="BA85" s="928"/>
      <c r="BB85" s="928"/>
      <c r="BC85" s="928"/>
      <c r="BD85" s="928"/>
      <c r="BE85" s="928"/>
      <c r="BF85" s="1060"/>
    </row>
    <row r="86" spans="37:58" x14ac:dyDescent="0.35">
      <c r="AK86" s="928"/>
      <c r="AL86" s="1060"/>
      <c r="AM86" s="928"/>
      <c r="AN86" s="928"/>
      <c r="AO86" s="928"/>
      <c r="AP86" s="928"/>
      <c r="AQ86" s="928"/>
      <c r="AR86" s="928"/>
      <c r="AS86" s="928"/>
      <c r="AT86" s="928"/>
      <c r="AU86" s="928"/>
      <c r="AV86" s="928"/>
      <c r="AW86" s="928"/>
      <c r="AX86" s="928"/>
      <c r="AY86" s="928"/>
      <c r="AZ86" s="928"/>
      <c r="BA86" s="928"/>
      <c r="BB86" s="928"/>
      <c r="BC86" s="928"/>
      <c r="BD86" s="928"/>
      <c r="BE86" s="928"/>
      <c r="BF86" s="1060"/>
    </row>
  </sheetData>
  <sheetProtection sheet="1" objects="1" scenarios="1"/>
  <mergeCells count="244">
    <mergeCell ref="R3:R4"/>
    <mergeCell ref="R23:R24"/>
    <mergeCell ref="AI21:AI22"/>
    <mergeCell ref="AJ21:AJ22"/>
    <mergeCell ref="AK13:AL13"/>
    <mergeCell ref="BK9:BK10"/>
    <mergeCell ref="BL9:BL10"/>
    <mergeCell ref="BK11:BK12"/>
    <mergeCell ref="BL11:BL12"/>
    <mergeCell ref="BK13:BK14"/>
    <mergeCell ref="BL13:BL14"/>
    <mergeCell ref="AI17:AI18"/>
    <mergeCell ref="AJ17:AJ18"/>
    <mergeCell ref="AI19:AI20"/>
    <mergeCell ref="AJ19:AJ20"/>
    <mergeCell ref="AM13:AN13"/>
    <mergeCell ref="AI11:AI12"/>
    <mergeCell ref="AJ11:AJ12"/>
    <mergeCell ref="AI13:AI14"/>
    <mergeCell ref="AJ13:AJ14"/>
    <mergeCell ref="BK23:BK24"/>
    <mergeCell ref="BL23:BL24"/>
    <mergeCell ref="V15:V16"/>
    <mergeCell ref="Y15:Y16"/>
    <mergeCell ref="BK26:BK29"/>
    <mergeCell ref="BL26:BL29"/>
    <mergeCell ref="BK17:BK18"/>
    <mergeCell ref="BL17:BL18"/>
    <mergeCell ref="BK19:BK20"/>
    <mergeCell ref="BL19:BL20"/>
    <mergeCell ref="BL21:BL22"/>
    <mergeCell ref="BK21:BK22"/>
    <mergeCell ref="AA23:AA24"/>
    <mergeCell ref="BG23:BG24"/>
    <mergeCell ref="BH23:BH24"/>
    <mergeCell ref="AE23:AE24"/>
    <mergeCell ref="AF23:AF24"/>
    <mergeCell ref="AB23:AB24"/>
    <mergeCell ref="AC23:AC24"/>
    <mergeCell ref="AD23:AD24"/>
    <mergeCell ref="AI23:AI24"/>
    <mergeCell ref="AJ23:AJ24"/>
    <mergeCell ref="Z15:Z16"/>
    <mergeCell ref="B23:B24"/>
    <mergeCell ref="C23:C24"/>
    <mergeCell ref="D23:D24"/>
    <mergeCell ref="E23:E24"/>
    <mergeCell ref="F23:N23"/>
    <mergeCell ref="V23:V24"/>
    <mergeCell ref="W23:W24"/>
    <mergeCell ref="X23:X24"/>
    <mergeCell ref="Y23:Y24"/>
    <mergeCell ref="T23:T24"/>
    <mergeCell ref="Z23:Z24"/>
    <mergeCell ref="O23:O24"/>
    <mergeCell ref="P23:P24"/>
    <mergeCell ref="Q23:Q24"/>
    <mergeCell ref="S23:S24"/>
    <mergeCell ref="U23:U24"/>
    <mergeCell ref="B21:B22"/>
    <mergeCell ref="C21:C22"/>
    <mergeCell ref="D21:D22"/>
    <mergeCell ref="E21:E22"/>
    <mergeCell ref="O21:O22"/>
    <mergeCell ref="P21:P22"/>
    <mergeCell ref="F22:N22"/>
    <mergeCell ref="V19:V20"/>
    <mergeCell ref="Y19:Y20"/>
    <mergeCell ref="B19:B20"/>
    <mergeCell ref="C19:C20"/>
    <mergeCell ref="D19:D20"/>
    <mergeCell ref="E19:E20"/>
    <mergeCell ref="AC17:AC18"/>
    <mergeCell ref="Z21:Z22"/>
    <mergeCell ref="AF21:AF22"/>
    <mergeCell ref="S21:S22"/>
    <mergeCell ref="V21:V22"/>
    <mergeCell ref="Y21:Y22"/>
    <mergeCell ref="AD21:AD22"/>
    <mergeCell ref="T17:T18"/>
    <mergeCell ref="T19:T20"/>
    <mergeCell ref="T21:T22"/>
    <mergeCell ref="S19:S20"/>
    <mergeCell ref="AC19:AC20"/>
    <mergeCell ref="AD19:AD20"/>
    <mergeCell ref="AC21:AC22"/>
    <mergeCell ref="AD17:AD18"/>
    <mergeCell ref="AF11:AF12"/>
    <mergeCell ref="F12:N12"/>
    <mergeCell ref="B13:B14"/>
    <mergeCell ref="C13:C14"/>
    <mergeCell ref="Z19:Z20"/>
    <mergeCell ref="AF19:AF20"/>
    <mergeCell ref="F20:N20"/>
    <mergeCell ref="Y17:Y18"/>
    <mergeCell ref="Z17:Z18"/>
    <mergeCell ref="F18:N18"/>
    <mergeCell ref="O19:O20"/>
    <mergeCell ref="P19:P20"/>
    <mergeCell ref="AF13:AF14"/>
    <mergeCell ref="F14:N14"/>
    <mergeCell ref="B17:B18"/>
    <mergeCell ref="C17:C18"/>
    <mergeCell ref="D17:D18"/>
    <mergeCell ref="E17:E18"/>
    <mergeCell ref="O17:O18"/>
    <mergeCell ref="P17:P18"/>
    <mergeCell ref="S17:S18"/>
    <mergeCell ref="V17:V18"/>
    <mergeCell ref="D13:D14"/>
    <mergeCell ref="P13:P14"/>
    <mergeCell ref="AC9:AC10"/>
    <mergeCell ref="AD9:AD10"/>
    <mergeCell ref="T13:T14"/>
    <mergeCell ref="B11:B12"/>
    <mergeCell ref="C11:C12"/>
    <mergeCell ref="D11:D12"/>
    <mergeCell ref="E11:E12"/>
    <mergeCell ref="O11:O12"/>
    <mergeCell ref="P11:P12"/>
    <mergeCell ref="AD11:AD12"/>
    <mergeCell ref="AC13:AC14"/>
    <mergeCell ref="AD13:AD14"/>
    <mergeCell ref="Y11:Y12"/>
    <mergeCell ref="Z11:Z12"/>
    <mergeCell ref="T11:T12"/>
    <mergeCell ref="V11:V12"/>
    <mergeCell ref="S13:S14"/>
    <mergeCell ref="V13:V14"/>
    <mergeCell ref="Y13:Y14"/>
    <mergeCell ref="AC11:AC12"/>
    <mergeCell ref="Z13:Z14"/>
    <mergeCell ref="E13:E14"/>
    <mergeCell ref="O13:O14"/>
    <mergeCell ref="AF9:AF10"/>
    <mergeCell ref="B3:B4"/>
    <mergeCell ref="D3:D4"/>
    <mergeCell ref="E3:E4"/>
    <mergeCell ref="F3:N3"/>
    <mergeCell ref="O3:O4"/>
    <mergeCell ref="Y9:Y10"/>
    <mergeCell ref="P9:P10"/>
    <mergeCell ref="S9:S10"/>
    <mergeCell ref="V9:V10"/>
    <mergeCell ref="O9:O10"/>
    <mergeCell ref="B9:B10"/>
    <mergeCell ref="C9:C10"/>
    <mergeCell ref="D9:D10"/>
    <mergeCell ref="E9:E10"/>
    <mergeCell ref="Y3:Y4"/>
    <mergeCell ref="P3:P4"/>
    <mergeCell ref="Q3:Q4"/>
    <mergeCell ref="S3:S4"/>
    <mergeCell ref="U3:U4"/>
    <mergeCell ref="F10:N10"/>
    <mergeCell ref="V3:V4"/>
    <mergeCell ref="AC3:AC4"/>
    <mergeCell ref="AD3:AD4"/>
    <mergeCell ref="BL6:BL7"/>
    <mergeCell ref="B6:B7"/>
    <mergeCell ref="D6:D7"/>
    <mergeCell ref="E6:E7"/>
    <mergeCell ref="C6:C7"/>
    <mergeCell ref="O6:O7"/>
    <mergeCell ref="S6:S7"/>
    <mergeCell ref="V6:V7"/>
    <mergeCell ref="Y6:Y7"/>
    <mergeCell ref="AF6:AF7"/>
    <mergeCell ref="BK6:BK7"/>
    <mergeCell ref="F7:N7"/>
    <mergeCell ref="AJ6:AJ7"/>
    <mergeCell ref="T6:T7"/>
    <mergeCell ref="AC6:AC7"/>
    <mergeCell ref="AD6:AD7"/>
    <mergeCell ref="P6:P7"/>
    <mergeCell ref="Z6:Z7"/>
    <mergeCell ref="AI6:AI7"/>
    <mergeCell ref="B1:AF1"/>
    <mergeCell ref="AI1:BH1"/>
    <mergeCell ref="F2:N2"/>
    <mergeCell ref="A6:A7"/>
    <mergeCell ref="A9:A10"/>
    <mergeCell ref="A11:A12"/>
    <mergeCell ref="A13:A14"/>
    <mergeCell ref="A17:A18"/>
    <mergeCell ref="A19:A20"/>
    <mergeCell ref="BG3:BG4"/>
    <mergeCell ref="BH3:BH4"/>
    <mergeCell ref="AI3:AI4"/>
    <mergeCell ref="AI9:AI10"/>
    <mergeCell ref="AJ9:AJ10"/>
    <mergeCell ref="T3:T4"/>
    <mergeCell ref="T9:T10"/>
    <mergeCell ref="AE3:AE4"/>
    <mergeCell ref="AF3:AF4"/>
    <mergeCell ref="Z3:Z4"/>
    <mergeCell ref="AA3:AA4"/>
    <mergeCell ref="Z9:Z10"/>
    <mergeCell ref="W3:W4"/>
    <mergeCell ref="X3:X4"/>
    <mergeCell ref="AB3:AB4"/>
    <mergeCell ref="A21:A22"/>
    <mergeCell ref="F30:N30"/>
    <mergeCell ref="BI6:BI7"/>
    <mergeCell ref="BI9:BI10"/>
    <mergeCell ref="BI11:BI12"/>
    <mergeCell ref="BI13:BI14"/>
    <mergeCell ref="BI17:BI18"/>
    <mergeCell ref="BI19:BI20"/>
    <mergeCell ref="BI21:BI22"/>
    <mergeCell ref="AG21:AG22"/>
    <mergeCell ref="AH21:AH22"/>
    <mergeCell ref="AG19:AG20"/>
    <mergeCell ref="AH19:AH20"/>
    <mergeCell ref="AG17:AG18"/>
    <mergeCell ref="AH17:AH18"/>
    <mergeCell ref="AG13:AG14"/>
    <mergeCell ref="AH13:AH14"/>
    <mergeCell ref="AG11:AG12"/>
    <mergeCell ref="AH11:AH12"/>
    <mergeCell ref="AG9:AG10"/>
    <mergeCell ref="AH9:AH10"/>
    <mergeCell ref="AG6:AG7"/>
    <mergeCell ref="AH6:AH7"/>
    <mergeCell ref="S11:S12"/>
    <mergeCell ref="A15:A16"/>
    <mergeCell ref="B15:B16"/>
    <mergeCell ref="C15:C16"/>
    <mergeCell ref="D15:D16"/>
    <mergeCell ref="E15:E16"/>
    <mergeCell ref="O15:O16"/>
    <mergeCell ref="P15:P16"/>
    <mergeCell ref="S15:S16"/>
    <mergeCell ref="T15:T16"/>
    <mergeCell ref="F16:N16"/>
    <mergeCell ref="AC15:AC16"/>
    <mergeCell ref="AD15:AD16"/>
    <mergeCell ref="AG15:AG16"/>
    <mergeCell ref="AH15:AH16"/>
    <mergeCell ref="AI15:AI16"/>
    <mergeCell ref="AJ15:AJ16"/>
    <mergeCell ref="BI15:BI16"/>
    <mergeCell ref="BK15:BK16"/>
    <mergeCell ref="BL15:BL16"/>
  </mergeCells>
  <conditionalFormatting sqref="E9 E11 E13 E17 E19">
    <cfRule type="containsText" dxfId="371" priority="15" operator="containsText" text="Critical">
      <formula>NOT(ISERROR(SEARCH("Critical",E9)))</formula>
    </cfRule>
    <cfRule type="containsText" dxfId="370" priority="16" operator="containsText" text="Essential">
      <formula>NOT(ISERROR(SEARCH("Essential",E9)))</formula>
    </cfRule>
    <cfRule type="containsText" dxfId="369" priority="17" operator="containsText" text="Desirable">
      <formula>NOT(ISERROR(SEARCH("Desirable",E9)))</formula>
    </cfRule>
  </conditionalFormatting>
  <conditionalFormatting sqref="E9">
    <cfRule type="containsText" dxfId="368" priority="14" operator="containsText" text="Required">
      <formula>NOT(ISERROR(SEARCH("Required",E9)))</formula>
    </cfRule>
  </conditionalFormatting>
  <conditionalFormatting sqref="E11 E13 E17 E19">
    <cfRule type="containsText" dxfId="367" priority="13" operator="containsText" text="Required">
      <formula>NOT(ISERROR(SEARCH("Required",E11)))</formula>
    </cfRule>
  </conditionalFormatting>
  <conditionalFormatting sqref="E15">
    <cfRule type="containsText" dxfId="366" priority="1" operator="containsText" text="Required">
      <formula>NOT(ISERROR(SEARCH("Required",E15)))</formula>
    </cfRule>
    <cfRule type="containsText" dxfId="365" priority="2" operator="containsText" text="Critical">
      <formula>NOT(ISERROR(SEARCH("Critical",E15)))</formula>
    </cfRule>
    <cfRule type="containsText" dxfId="364" priority="3" operator="containsText" text="Essential">
      <formula>NOT(ISERROR(SEARCH("Essential",E15)))</formula>
    </cfRule>
    <cfRule type="containsText" dxfId="363" priority="4" operator="containsText" text="Desirable">
      <formula>NOT(ISERROR(SEARCH("Desirable",E15)))</formula>
    </cfRule>
  </conditionalFormatting>
  <conditionalFormatting sqref="E21">
    <cfRule type="containsText" dxfId="362" priority="9" operator="containsText" text="Required">
      <formula>NOT(ISERROR(SEARCH("Required",E21)))</formula>
    </cfRule>
    <cfRule type="containsText" dxfId="361" priority="10" operator="containsText" text="Critical">
      <formula>NOT(ISERROR(SEARCH("Critical",E21)))</formula>
    </cfRule>
    <cfRule type="containsText" dxfId="360" priority="11" operator="containsText" text="Essential">
      <formula>NOT(ISERROR(SEARCH("Essential",E21)))</formula>
    </cfRule>
    <cfRule type="containsText" dxfId="359" priority="12" operator="containsText" text="Desirable">
      <formula>NOT(ISERROR(SEARCH("Desirable",E21)))</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colBreaks count="1" manualBreakCount="1">
    <brk id="33" max="27"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DJ36"/>
  <sheetViews>
    <sheetView showGridLines="0" zoomScaleNormal="100" workbookViewId="0">
      <pane xSplit="3" ySplit="1" topLeftCell="D2" activePane="bottomRight" state="frozen"/>
      <selection pane="topRight" activeCell="J3" sqref="J3"/>
      <selection pane="bottomLeft" activeCell="J3" sqref="J3"/>
      <selection pane="bottomRight" activeCell="J3" sqref="J3"/>
    </sheetView>
  </sheetViews>
  <sheetFormatPr defaultColWidth="8.90625" defaultRowHeight="14.5" outlineLevelCol="1" x14ac:dyDescent="0.35"/>
  <cols>
    <col min="1" max="2" width="8.90625" style="356" customWidth="1"/>
    <col min="3" max="3" width="44.453125" style="356" customWidth="1"/>
    <col min="4" max="4" width="11.08984375" style="356" customWidth="1"/>
    <col min="5" max="6" width="22.08984375" style="356" customWidth="1"/>
    <col min="7" max="7" width="16.90625" style="356" customWidth="1"/>
    <col min="8" max="8" width="33.08984375" style="356" customWidth="1"/>
    <col min="9" max="11" width="16.90625" style="356" customWidth="1"/>
    <col min="12" max="12" width="33.08984375" style="356" customWidth="1"/>
    <col min="13" max="13" width="16.90625" style="356" customWidth="1"/>
    <col min="14" max="14" width="11.08984375" style="356" customWidth="1"/>
    <col min="15" max="20" width="7.90625" style="356" customWidth="1"/>
    <col min="21" max="26" width="7.90625" style="356" hidden="1" customWidth="1" outlineLevel="1"/>
    <col min="27" max="27" width="55.54296875" style="356" customWidth="1" collapsed="1"/>
    <col min="28" max="28" width="22.08984375" style="356" hidden="1" customWidth="1" outlineLevel="1"/>
    <col min="29" max="29" width="33.08984375" style="356" hidden="1" customWidth="1" outlineLevel="1"/>
    <col min="30" max="30" width="12.08984375" style="356" hidden="1" customWidth="1" outlineLevel="1"/>
    <col min="31" max="31" width="33.08984375" style="396" hidden="1" customWidth="1" outlineLevel="1"/>
    <col min="32" max="32" width="11.08984375" style="356" customWidth="1" collapsed="1"/>
    <col min="33" max="33" width="19.90625" style="356" customWidth="1"/>
    <col min="34" max="61" width="16.90625" style="356" customWidth="1"/>
    <col min="62" max="64" width="15.453125" style="356" customWidth="1"/>
    <col min="65" max="65" width="8.90625" style="289" hidden="1" customWidth="1" outlineLevel="1"/>
    <col min="66" max="113" width="16.90625" style="289" hidden="1" customWidth="1" outlineLevel="1"/>
    <col min="114" max="114" width="8.90625" style="356" collapsed="1"/>
    <col min="115" max="16384" width="8.90625" style="356"/>
  </cols>
  <sheetData>
    <row r="1" spans="1:113" s="348" customFormat="1" ht="84" customHeight="1" x14ac:dyDescent="0.3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298"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287"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140" x14ac:dyDescent="0.3">
      <c r="A2" s="55" t="s">
        <v>1274</v>
      </c>
      <c r="B2" s="402"/>
      <c r="C2" s="6" t="s">
        <v>1275</v>
      </c>
      <c r="D2" s="403" t="s">
        <v>443</v>
      </c>
      <c r="E2" s="11" t="s">
        <v>1276</v>
      </c>
      <c r="F2" s="134" t="s">
        <v>1277</v>
      </c>
      <c r="G2" s="165">
        <v>6000000</v>
      </c>
      <c r="H2" s="367" t="s">
        <v>1278</v>
      </c>
      <c r="I2" s="61">
        <v>0</v>
      </c>
      <c r="J2" s="61">
        <f>G2-I2</f>
        <v>6000000</v>
      </c>
      <c r="K2" s="367">
        <f>J2/2</f>
        <v>3000000</v>
      </c>
      <c r="L2" s="147" t="s">
        <v>1279</v>
      </c>
      <c r="M2" s="389">
        <f>J2-K2</f>
        <v>3000000</v>
      </c>
      <c r="N2" s="96" t="s">
        <v>316</v>
      </c>
      <c r="O2" s="32"/>
      <c r="P2" s="10"/>
      <c r="Q2" s="32"/>
      <c r="R2" s="32"/>
      <c r="S2" s="32"/>
      <c r="T2" s="404"/>
      <c r="U2" s="223"/>
      <c r="V2" s="242">
        <v>1</v>
      </c>
      <c r="W2" s="223"/>
      <c r="X2" s="223"/>
      <c r="Y2" s="223"/>
      <c r="Z2" s="225"/>
      <c r="AA2" s="131" t="s">
        <v>1280</v>
      </c>
      <c r="AB2" s="6"/>
      <c r="AC2" s="11" t="s">
        <v>1281</v>
      </c>
      <c r="AD2" s="275" t="s">
        <v>346</v>
      </c>
      <c r="AE2" s="139"/>
      <c r="AF2" s="405" t="s">
        <v>461</v>
      </c>
      <c r="AG2" s="134" t="s">
        <v>268</v>
      </c>
      <c r="AH2" s="164">
        <f>$K$2*'[1]Apportionment %'!C8</f>
        <v>130905.28275541075</v>
      </c>
      <c r="AI2" s="79">
        <f>$K$2*'[1]Apportionment %'!D8</f>
        <v>453804.98021875729</v>
      </c>
      <c r="AJ2" s="79">
        <f>$K$2*'[1]Apportionment %'!E8</f>
        <v>183267.39585757506</v>
      </c>
      <c r="AK2" s="79">
        <f>$K$2*'[1]Apportionment %'!F8</f>
        <v>140854.08424482198</v>
      </c>
      <c r="AL2" s="79">
        <f>$K$2*'[1]Apportionment %'!G8</f>
        <v>232313.24179660229</v>
      </c>
      <c r="AM2" s="79">
        <f>$K$2*'[1]Apportionment %'!H8</f>
        <v>1483593.2045613218</v>
      </c>
      <c r="AN2" s="79">
        <f>$K$2*'[1]Apportionment %'!I8</f>
        <v>261810.5655108215</v>
      </c>
      <c r="AO2" s="79">
        <f>$K$2*'[1]Apportionment %'!J8</f>
        <v>113451.24505468932</v>
      </c>
      <c r="AP2" s="32"/>
      <c r="AQ2" s="32"/>
      <c r="AR2" s="32"/>
      <c r="AS2" s="32"/>
      <c r="AT2" s="32"/>
      <c r="AU2" s="32"/>
      <c r="AV2" s="32"/>
      <c r="AW2" s="32"/>
      <c r="AX2" s="32"/>
      <c r="AY2" s="32"/>
      <c r="AZ2" s="32"/>
      <c r="BA2" s="32"/>
      <c r="BB2" s="32"/>
      <c r="BC2" s="32"/>
      <c r="BD2" s="32"/>
      <c r="BE2" s="32"/>
      <c r="BF2" s="32"/>
      <c r="BG2" s="32"/>
      <c r="BH2" s="32"/>
      <c r="BI2" s="32"/>
      <c r="BJ2" s="32"/>
      <c r="BK2" s="288" t="b">
        <f>K2=SUM(AH2:BJ2)</f>
        <v>1</v>
      </c>
      <c r="BM2" s="356"/>
      <c r="BN2" s="360">
        <f>$U2*AH2</f>
        <v>0</v>
      </c>
      <c r="BO2" s="360">
        <f>$V2*AH2</f>
        <v>130905.28275541075</v>
      </c>
      <c r="BP2" s="360">
        <f>$W2*AH2</f>
        <v>0</v>
      </c>
      <c r="BQ2" s="360">
        <f>$X2*AH2</f>
        <v>0</v>
      </c>
      <c r="BR2" s="360">
        <f>$Y2*AH2</f>
        <v>0</v>
      </c>
      <c r="BS2" s="360">
        <f>$Z2*AH2</f>
        <v>0</v>
      </c>
      <c r="BT2" s="360">
        <f>$U2*AI2</f>
        <v>0</v>
      </c>
      <c r="BU2" s="360">
        <f>$V2*AI2</f>
        <v>453804.98021875729</v>
      </c>
      <c r="BV2" s="360">
        <f>$W2*AI2</f>
        <v>0</v>
      </c>
      <c r="BW2" s="360">
        <f>$X2*AI2</f>
        <v>0</v>
      </c>
      <c r="BX2" s="360">
        <f>$Y2*AI2</f>
        <v>0</v>
      </c>
      <c r="BY2" s="360">
        <f>$Z2*AI2</f>
        <v>0</v>
      </c>
      <c r="BZ2" s="360">
        <f>$U2*AJ2</f>
        <v>0</v>
      </c>
      <c r="CA2" s="360">
        <f>$V2*AJ2</f>
        <v>183267.39585757506</v>
      </c>
      <c r="CB2" s="360">
        <f>$W2*AJ2</f>
        <v>0</v>
      </c>
      <c r="CC2" s="360">
        <f>$X2*AJ2</f>
        <v>0</v>
      </c>
      <c r="CD2" s="360">
        <f>$Y2*AJ2</f>
        <v>0</v>
      </c>
      <c r="CE2" s="360">
        <f>$Z2*AJ2</f>
        <v>0</v>
      </c>
      <c r="CF2" s="360">
        <f>$U2*AK2</f>
        <v>0</v>
      </c>
      <c r="CG2" s="360">
        <f>$V2*AK2</f>
        <v>140854.08424482198</v>
      </c>
      <c r="CH2" s="360">
        <f>$W2*AK2</f>
        <v>0</v>
      </c>
      <c r="CI2" s="360">
        <f>$X2*AK2</f>
        <v>0</v>
      </c>
      <c r="CJ2" s="360">
        <f>$Y2*AK2</f>
        <v>0</v>
      </c>
      <c r="CK2" s="360">
        <f>$Z2*AK2</f>
        <v>0</v>
      </c>
      <c r="CL2" s="360">
        <f>$U2*AL2</f>
        <v>0</v>
      </c>
      <c r="CM2" s="360">
        <f>$V2*AL2</f>
        <v>232313.24179660229</v>
      </c>
      <c r="CN2" s="360">
        <f>$W2*AL2</f>
        <v>0</v>
      </c>
      <c r="CO2" s="360">
        <f>$X2*AL2</f>
        <v>0</v>
      </c>
      <c r="CP2" s="360">
        <f>$Y2*AL2</f>
        <v>0</v>
      </c>
      <c r="CQ2" s="360">
        <f>$Z2*AL2</f>
        <v>0</v>
      </c>
      <c r="CR2" s="360">
        <f>$U2*AM2</f>
        <v>0</v>
      </c>
      <c r="CS2" s="360">
        <f>$V2*AM2</f>
        <v>1483593.2045613218</v>
      </c>
      <c r="CT2" s="360">
        <f>$W2*AM2</f>
        <v>0</v>
      </c>
      <c r="CU2" s="360">
        <f>$X2*AM2</f>
        <v>0</v>
      </c>
      <c r="CV2" s="360">
        <f>$Y2*AM2</f>
        <v>0</v>
      </c>
      <c r="CW2" s="360">
        <f>$Z2*AM2</f>
        <v>0</v>
      </c>
      <c r="CX2" s="360">
        <f>$U2*AN2</f>
        <v>0</v>
      </c>
      <c r="CY2" s="360">
        <f>$V2*AN2</f>
        <v>261810.5655108215</v>
      </c>
      <c r="CZ2" s="360">
        <f>$W2*AN2</f>
        <v>0</v>
      </c>
      <c r="DA2" s="360">
        <f>$X2*AN2</f>
        <v>0</v>
      </c>
      <c r="DB2" s="360">
        <f>$Y2*AN2</f>
        <v>0</v>
      </c>
      <c r="DC2" s="360">
        <f>$Z2*AN2</f>
        <v>0</v>
      </c>
      <c r="DD2" s="360">
        <f>$U2*AO2</f>
        <v>0</v>
      </c>
      <c r="DE2" s="360">
        <f>$V2*AO2</f>
        <v>113451.24505468932</v>
      </c>
      <c r="DF2" s="360">
        <f>$W2*AO2</f>
        <v>0</v>
      </c>
      <c r="DG2" s="360">
        <f>$X2*AO2</f>
        <v>0</v>
      </c>
      <c r="DH2" s="360">
        <f>$Y2*AO2</f>
        <v>0</v>
      </c>
      <c r="DI2" s="360">
        <f>$Z2*AO2</f>
        <v>0</v>
      </c>
    </row>
    <row r="3" spans="1:113" ht="84" x14ac:dyDescent="0.3">
      <c r="A3" s="55" t="s">
        <v>1282</v>
      </c>
      <c r="B3" s="402"/>
      <c r="C3" s="6" t="s">
        <v>1283</v>
      </c>
      <c r="D3" s="403" t="s">
        <v>443</v>
      </c>
      <c r="E3" s="11" t="s">
        <v>1284</v>
      </c>
      <c r="F3" s="134" t="s">
        <v>1285</v>
      </c>
      <c r="G3" s="165">
        <v>25000000</v>
      </c>
      <c r="H3" s="367" t="s">
        <v>1286</v>
      </c>
      <c r="I3" s="61">
        <v>0</v>
      </c>
      <c r="J3" s="61">
        <f>G3-I3</f>
        <v>25000000</v>
      </c>
      <c r="K3" s="367">
        <f>J3/2</f>
        <v>12500000</v>
      </c>
      <c r="L3" s="147" t="s">
        <v>1279</v>
      </c>
      <c r="M3" s="389">
        <f>J3-K3</f>
        <v>12500000</v>
      </c>
      <c r="N3" s="96" t="s">
        <v>316</v>
      </c>
      <c r="O3" s="32"/>
      <c r="P3" s="10"/>
      <c r="Q3" s="32"/>
      <c r="R3" s="32"/>
      <c r="S3" s="32"/>
      <c r="T3" s="404"/>
      <c r="U3" s="223"/>
      <c r="V3" s="242">
        <v>1</v>
      </c>
      <c r="W3" s="223"/>
      <c r="X3" s="223"/>
      <c r="Y3" s="223"/>
      <c r="Z3" s="225"/>
      <c r="AA3" s="131" t="s">
        <v>1287</v>
      </c>
      <c r="AB3" s="6"/>
      <c r="AC3" s="11" t="s">
        <v>1288</v>
      </c>
      <c r="AD3" s="275" t="s">
        <v>346</v>
      </c>
      <c r="AE3" s="139"/>
      <c r="AF3" s="405" t="s">
        <v>461</v>
      </c>
      <c r="AG3" s="134" t="s">
        <v>268</v>
      </c>
      <c r="AH3" s="164">
        <f>$K$3*'[1]Apportionment %'!C8</f>
        <v>545438.67814754485</v>
      </c>
      <c r="AI3" s="79">
        <f>$K$3*'[1]Apportionment %'!D8</f>
        <v>1890854.0842448219</v>
      </c>
      <c r="AJ3" s="79">
        <f>$K$3*'[1]Apportionment %'!E8</f>
        <v>763614.14940656268</v>
      </c>
      <c r="AK3" s="79">
        <f>$K$3*'[1]Apportionment %'!F8</f>
        <v>586892.01768675819</v>
      </c>
      <c r="AL3" s="79">
        <f>$K$3*'[1]Apportionment %'!G8</f>
        <v>967971.84081917617</v>
      </c>
      <c r="AM3" s="79">
        <f>$K$3*'[1]Apportionment %'!H8</f>
        <v>6181638.3523388412</v>
      </c>
      <c r="AN3" s="79">
        <f>$K$3*'[1]Apportionment %'!I8</f>
        <v>1090877.3562950897</v>
      </c>
      <c r="AO3" s="79">
        <f>$K$3*'[1]Apportionment %'!J8</f>
        <v>472713.52106120548</v>
      </c>
      <c r="AP3" s="32"/>
      <c r="AQ3" s="32"/>
      <c r="AR3" s="32"/>
      <c r="AS3" s="32"/>
      <c r="AT3" s="32"/>
      <c r="AU3" s="32"/>
      <c r="AV3" s="32"/>
      <c r="AW3" s="32"/>
      <c r="AX3" s="32"/>
      <c r="AY3" s="32"/>
      <c r="AZ3" s="32"/>
      <c r="BA3" s="32"/>
      <c r="BB3" s="32"/>
      <c r="BC3" s="32"/>
      <c r="BD3" s="32"/>
      <c r="BE3" s="32"/>
      <c r="BF3" s="32"/>
      <c r="BG3" s="32"/>
      <c r="BH3" s="32"/>
      <c r="BI3" s="32"/>
      <c r="BJ3" s="32"/>
      <c r="BK3" s="288" t="b">
        <f>K3=SUM(AH3:BJ3)</f>
        <v>1</v>
      </c>
      <c r="BM3" s="356"/>
      <c r="BN3" s="360">
        <f>$U3*AH3</f>
        <v>0</v>
      </c>
      <c r="BO3" s="360">
        <f>$V3*AH3</f>
        <v>545438.67814754485</v>
      </c>
      <c r="BP3" s="360">
        <f>$W3*AH3</f>
        <v>0</v>
      </c>
      <c r="BQ3" s="360">
        <f>$X3*AH3</f>
        <v>0</v>
      </c>
      <c r="BR3" s="360">
        <f>$Y3*AH3</f>
        <v>0</v>
      </c>
      <c r="BS3" s="360">
        <f>$Z3*AH3</f>
        <v>0</v>
      </c>
      <c r="BT3" s="360">
        <f>$U3*AI3</f>
        <v>0</v>
      </c>
      <c r="BU3" s="360">
        <f>$V3*AI3</f>
        <v>1890854.0842448219</v>
      </c>
      <c r="BV3" s="360">
        <f>$W3*AI3</f>
        <v>0</v>
      </c>
      <c r="BW3" s="360">
        <f>$X3*AI3</f>
        <v>0</v>
      </c>
      <c r="BX3" s="360">
        <f>$Y3*AI3</f>
        <v>0</v>
      </c>
      <c r="BY3" s="360">
        <f>$Z3*AI3</f>
        <v>0</v>
      </c>
      <c r="BZ3" s="360">
        <f>$U3*AJ3</f>
        <v>0</v>
      </c>
      <c r="CA3" s="360">
        <f>$V3*AJ3</f>
        <v>763614.14940656268</v>
      </c>
      <c r="CB3" s="360">
        <f>$W3*AJ3</f>
        <v>0</v>
      </c>
      <c r="CC3" s="360">
        <f>$X3*AJ3</f>
        <v>0</v>
      </c>
      <c r="CD3" s="360">
        <f>$Y3*AJ3</f>
        <v>0</v>
      </c>
      <c r="CE3" s="360">
        <f>$Z3*AJ3</f>
        <v>0</v>
      </c>
      <c r="CF3" s="360">
        <f>$U3*AK3</f>
        <v>0</v>
      </c>
      <c r="CG3" s="360">
        <f>$V3*AK3</f>
        <v>586892.01768675819</v>
      </c>
      <c r="CH3" s="360">
        <f>$W3*AK3</f>
        <v>0</v>
      </c>
      <c r="CI3" s="360">
        <f>$X3*AK3</f>
        <v>0</v>
      </c>
      <c r="CJ3" s="360">
        <f>$Y3*AK3</f>
        <v>0</v>
      </c>
      <c r="CK3" s="360">
        <f>$Z3*AK3</f>
        <v>0</v>
      </c>
      <c r="CL3" s="360">
        <f>$U3*AL3</f>
        <v>0</v>
      </c>
      <c r="CM3" s="360">
        <f>$V3*AL3</f>
        <v>967971.84081917617</v>
      </c>
      <c r="CN3" s="360">
        <f>$W3*AL3</f>
        <v>0</v>
      </c>
      <c r="CO3" s="360">
        <f>$X3*AL3</f>
        <v>0</v>
      </c>
      <c r="CP3" s="360">
        <f>$Y3*AL3</f>
        <v>0</v>
      </c>
      <c r="CQ3" s="360">
        <f>$Z3*AL3</f>
        <v>0</v>
      </c>
      <c r="CR3" s="360">
        <f>$U3*AM3</f>
        <v>0</v>
      </c>
      <c r="CS3" s="360">
        <f>$V3*AM3</f>
        <v>6181638.3523388412</v>
      </c>
      <c r="CT3" s="360">
        <f>$W3*AM3</f>
        <v>0</v>
      </c>
      <c r="CU3" s="360">
        <f>$X3*AM3</f>
        <v>0</v>
      </c>
      <c r="CV3" s="360">
        <f>$Y3*AM3</f>
        <v>0</v>
      </c>
      <c r="CW3" s="360">
        <f>$Z3*AM3</f>
        <v>0</v>
      </c>
      <c r="CX3" s="360">
        <f>$U3*AN3</f>
        <v>0</v>
      </c>
      <c r="CY3" s="360">
        <f>$V3*AN3</f>
        <v>1090877.3562950897</v>
      </c>
      <c r="CZ3" s="360">
        <f>$W3*AN3</f>
        <v>0</v>
      </c>
      <c r="DA3" s="360">
        <f>$X3*AN3</f>
        <v>0</v>
      </c>
      <c r="DB3" s="360">
        <f>$Y3*AN3</f>
        <v>0</v>
      </c>
      <c r="DC3" s="360">
        <f>$Z3*AN3</f>
        <v>0</v>
      </c>
      <c r="DD3" s="360">
        <f>$U3*AO3</f>
        <v>0</v>
      </c>
      <c r="DE3" s="360">
        <f>$V3*AO3</f>
        <v>472713.52106120548</v>
      </c>
      <c r="DF3" s="360">
        <f>$W3*AO3</f>
        <v>0</v>
      </c>
      <c r="DG3" s="360">
        <f>$X3*AO3</f>
        <v>0</v>
      </c>
      <c r="DH3" s="360">
        <f>$Y3*AO3</f>
        <v>0</v>
      </c>
      <c r="DI3" s="360">
        <f>$Z3*AO3</f>
        <v>0</v>
      </c>
    </row>
    <row r="4" spans="1:113" ht="14" x14ac:dyDescent="0.3">
      <c r="G4" s="357">
        <f>SUM(G2:G3)</f>
        <v>31000000</v>
      </c>
      <c r="I4" s="357">
        <f>SUM(I2:I3)</f>
        <v>0</v>
      </c>
      <c r="J4" s="357">
        <f>SUM(J2:J3)</f>
        <v>31000000</v>
      </c>
      <c r="K4" s="357">
        <f>SUM(K2:K3)</f>
        <v>15500000</v>
      </c>
      <c r="M4" s="357">
        <f>SUM(M2:M3)</f>
        <v>15500000</v>
      </c>
      <c r="AG4" s="397" t="s">
        <v>15</v>
      </c>
      <c r="AH4" s="357">
        <f>SUM(AH2:AH3)</f>
        <v>676343.96090295562</v>
      </c>
      <c r="AI4" s="357">
        <f t="shared" ref="AI4:BJ4" si="0">SUM(AI2:AI3)</f>
        <v>2344659.0644635791</v>
      </c>
      <c r="AJ4" s="357">
        <f t="shared" si="0"/>
        <v>946881.54526413768</v>
      </c>
      <c r="AK4" s="357">
        <f t="shared" si="0"/>
        <v>727746.10193158011</v>
      </c>
      <c r="AL4" s="357">
        <f t="shared" si="0"/>
        <v>1200285.0826157785</v>
      </c>
      <c r="AM4" s="357">
        <f t="shared" si="0"/>
        <v>7665231.5569001632</v>
      </c>
      <c r="AN4" s="357">
        <f t="shared" si="0"/>
        <v>1352687.9218059112</v>
      </c>
      <c r="AO4" s="357">
        <f t="shared" si="0"/>
        <v>586164.76611589477</v>
      </c>
      <c r="AP4" s="357">
        <f t="shared" si="0"/>
        <v>0</v>
      </c>
      <c r="AQ4" s="357">
        <f t="shared" si="0"/>
        <v>0</v>
      </c>
      <c r="AR4" s="357">
        <f t="shared" si="0"/>
        <v>0</v>
      </c>
      <c r="AS4" s="357">
        <f t="shared" si="0"/>
        <v>0</v>
      </c>
      <c r="AT4" s="357">
        <f t="shared" si="0"/>
        <v>0</v>
      </c>
      <c r="AU4" s="357">
        <f t="shared" si="0"/>
        <v>0</v>
      </c>
      <c r="AV4" s="357">
        <f t="shared" si="0"/>
        <v>0</v>
      </c>
      <c r="AW4" s="357">
        <f t="shared" si="0"/>
        <v>0</v>
      </c>
      <c r="AX4" s="357">
        <f t="shared" si="0"/>
        <v>0</v>
      </c>
      <c r="AY4" s="357">
        <f t="shared" si="0"/>
        <v>0</v>
      </c>
      <c r="AZ4" s="357">
        <f t="shared" si="0"/>
        <v>0</v>
      </c>
      <c r="BA4" s="357">
        <f t="shared" si="0"/>
        <v>0</v>
      </c>
      <c r="BB4" s="357">
        <f t="shared" si="0"/>
        <v>0</v>
      </c>
      <c r="BC4" s="357">
        <f t="shared" si="0"/>
        <v>0</v>
      </c>
      <c r="BD4" s="357">
        <f t="shared" si="0"/>
        <v>0</v>
      </c>
      <c r="BE4" s="357">
        <f t="shared" si="0"/>
        <v>0</v>
      </c>
      <c r="BF4" s="357">
        <f t="shared" si="0"/>
        <v>0</v>
      </c>
      <c r="BG4" s="357">
        <f t="shared" si="0"/>
        <v>0</v>
      </c>
      <c r="BH4" s="357">
        <f t="shared" si="0"/>
        <v>0</v>
      </c>
      <c r="BI4" s="357">
        <f t="shared" si="0"/>
        <v>0</v>
      </c>
      <c r="BJ4" s="357">
        <f t="shared" si="0"/>
        <v>0</v>
      </c>
      <c r="BM4" s="352" t="s">
        <v>15</v>
      </c>
      <c r="BN4" s="353">
        <f t="shared" ref="BN4:DI4" si="1">SUM(BN2:BN3)</f>
        <v>0</v>
      </c>
      <c r="BO4" s="353">
        <f t="shared" si="1"/>
        <v>676343.96090295562</v>
      </c>
      <c r="BP4" s="353">
        <f t="shared" si="1"/>
        <v>0</v>
      </c>
      <c r="BQ4" s="353">
        <f t="shared" si="1"/>
        <v>0</v>
      </c>
      <c r="BR4" s="353">
        <f t="shared" si="1"/>
        <v>0</v>
      </c>
      <c r="BS4" s="353">
        <f t="shared" si="1"/>
        <v>0</v>
      </c>
      <c r="BT4" s="353">
        <f t="shared" si="1"/>
        <v>0</v>
      </c>
      <c r="BU4" s="353">
        <f t="shared" si="1"/>
        <v>2344659.0644635791</v>
      </c>
      <c r="BV4" s="353">
        <f t="shared" si="1"/>
        <v>0</v>
      </c>
      <c r="BW4" s="353">
        <f t="shared" si="1"/>
        <v>0</v>
      </c>
      <c r="BX4" s="353">
        <f t="shared" si="1"/>
        <v>0</v>
      </c>
      <c r="BY4" s="353">
        <f t="shared" si="1"/>
        <v>0</v>
      </c>
      <c r="BZ4" s="353">
        <f t="shared" si="1"/>
        <v>0</v>
      </c>
      <c r="CA4" s="353">
        <f t="shared" si="1"/>
        <v>946881.54526413768</v>
      </c>
      <c r="CB4" s="353">
        <f t="shared" si="1"/>
        <v>0</v>
      </c>
      <c r="CC4" s="353">
        <f t="shared" si="1"/>
        <v>0</v>
      </c>
      <c r="CD4" s="353">
        <f t="shared" si="1"/>
        <v>0</v>
      </c>
      <c r="CE4" s="353">
        <f t="shared" si="1"/>
        <v>0</v>
      </c>
      <c r="CF4" s="353">
        <f t="shared" si="1"/>
        <v>0</v>
      </c>
      <c r="CG4" s="353">
        <f t="shared" si="1"/>
        <v>727746.10193158011</v>
      </c>
      <c r="CH4" s="353">
        <f t="shared" si="1"/>
        <v>0</v>
      </c>
      <c r="CI4" s="353">
        <f t="shared" si="1"/>
        <v>0</v>
      </c>
      <c r="CJ4" s="353">
        <f t="shared" si="1"/>
        <v>0</v>
      </c>
      <c r="CK4" s="353">
        <f t="shared" si="1"/>
        <v>0</v>
      </c>
      <c r="CL4" s="353">
        <f t="shared" si="1"/>
        <v>0</v>
      </c>
      <c r="CM4" s="353">
        <f t="shared" si="1"/>
        <v>1200285.0826157785</v>
      </c>
      <c r="CN4" s="353">
        <f t="shared" si="1"/>
        <v>0</v>
      </c>
      <c r="CO4" s="353">
        <f t="shared" si="1"/>
        <v>0</v>
      </c>
      <c r="CP4" s="353">
        <f t="shared" si="1"/>
        <v>0</v>
      </c>
      <c r="CQ4" s="353">
        <f t="shared" si="1"/>
        <v>0</v>
      </c>
      <c r="CR4" s="353">
        <f t="shared" si="1"/>
        <v>0</v>
      </c>
      <c r="CS4" s="353">
        <f t="shared" si="1"/>
        <v>7665231.5569001632</v>
      </c>
      <c r="CT4" s="353">
        <f t="shared" si="1"/>
        <v>0</v>
      </c>
      <c r="CU4" s="353">
        <f t="shared" si="1"/>
        <v>0</v>
      </c>
      <c r="CV4" s="353">
        <f t="shared" si="1"/>
        <v>0</v>
      </c>
      <c r="CW4" s="353">
        <f t="shared" si="1"/>
        <v>0</v>
      </c>
      <c r="CX4" s="353">
        <f t="shared" si="1"/>
        <v>0</v>
      </c>
      <c r="CY4" s="353">
        <f t="shared" si="1"/>
        <v>1352687.9218059112</v>
      </c>
      <c r="CZ4" s="353">
        <f t="shared" si="1"/>
        <v>0</v>
      </c>
      <c r="DA4" s="353">
        <f t="shared" si="1"/>
        <v>0</v>
      </c>
      <c r="DB4" s="353">
        <f t="shared" si="1"/>
        <v>0</v>
      </c>
      <c r="DC4" s="353">
        <f t="shared" si="1"/>
        <v>0</v>
      </c>
      <c r="DD4" s="353">
        <f t="shared" si="1"/>
        <v>0</v>
      </c>
      <c r="DE4" s="353">
        <f t="shared" si="1"/>
        <v>586164.76611589477</v>
      </c>
      <c r="DF4" s="353">
        <f t="shared" si="1"/>
        <v>0</v>
      </c>
      <c r="DG4" s="353">
        <f t="shared" si="1"/>
        <v>0</v>
      </c>
      <c r="DH4" s="353">
        <f t="shared" si="1"/>
        <v>0</v>
      </c>
      <c r="DI4" s="353">
        <f t="shared" si="1"/>
        <v>0</v>
      </c>
    </row>
    <row r="5" spans="1:113" ht="14" x14ac:dyDescent="0.3">
      <c r="AG5" s="397"/>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row>
    <row r="6" spans="1:113" ht="14" x14ac:dyDescent="0.3">
      <c r="AG6" s="397" t="s">
        <v>433</v>
      </c>
      <c r="AH6" s="355">
        <f t="shared" ref="AH6:BJ6" si="2">AH4*0.2</f>
        <v>135268.79218059112</v>
      </c>
      <c r="AI6" s="355">
        <f t="shared" si="2"/>
        <v>468931.81289271585</v>
      </c>
      <c r="AJ6" s="355">
        <f t="shared" si="2"/>
        <v>189376.30905282754</v>
      </c>
      <c r="AK6" s="355">
        <f t="shared" si="2"/>
        <v>145549.22038631604</v>
      </c>
      <c r="AL6" s="355">
        <f t="shared" si="2"/>
        <v>240057.01652315573</v>
      </c>
      <c r="AM6" s="355">
        <f t="shared" si="2"/>
        <v>1533046.3113800327</v>
      </c>
      <c r="AN6" s="355">
        <f t="shared" si="2"/>
        <v>270537.58436118223</v>
      </c>
      <c r="AO6" s="355">
        <f t="shared" si="2"/>
        <v>117232.95322317896</v>
      </c>
      <c r="AP6" s="355">
        <f t="shared" si="2"/>
        <v>0</v>
      </c>
      <c r="AQ6" s="355">
        <f t="shared" si="2"/>
        <v>0</v>
      </c>
      <c r="AR6" s="355">
        <f t="shared" si="2"/>
        <v>0</v>
      </c>
      <c r="AS6" s="355">
        <f t="shared" si="2"/>
        <v>0</v>
      </c>
      <c r="AT6" s="355">
        <f t="shared" si="2"/>
        <v>0</v>
      </c>
      <c r="AU6" s="355">
        <f t="shared" si="2"/>
        <v>0</v>
      </c>
      <c r="AV6" s="355">
        <f t="shared" si="2"/>
        <v>0</v>
      </c>
      <c r="AW6" s="355">
        <f t="shared" si="2"/>
        <v>0</v>
      </c>
      <c r="AX6" s="355">
        <f t="shared" si="2"/>
        <v>0</v>
      </c>
      <c r="AY6" s="355">
        <f t="shared" si="2"/>
        <v>0</v>
      </c>
      <c r="AZ6" s="355">
        <f t="shared" si="2"/>
        <v>0</v>
      </c>
      <c r="BA6" s="355">
        <f t="shared" si="2"/>
        <v>0</v>
      </c>
      <c r="BB6" s="355">
        <f t="shared" si="2"/>
        <v>0</v>
      </c>
      <c r="BC6" s="355">
        <f t="shared" si="2"/>
        <v>0</v>
      </c>
      <c r="BD6" s="355">
        <f t="shared" si="2"/>
        <v>0</v>
      </c>
      <c r="BE6" s="355">
        <f t="shared" si="2"/>
        <v>0</v>
      </c>
      <c r="BF6" s="355">
        <f t="shared" si="2"/>
        <v>0</v>
      </c>
      <c r="BG6" s="355">
        <f t="shared" si="2"/>
        <v>0</v>
      </c>
      <c r="BH6" s="355">
        <f t="shared" si="2"/>
        <v>0</v>
      </c>
      <c r="BI6" s="355">
        <f t="shared" si="2"/>
        <v>0</v>
      </c>
      <c r="BJ6" s="355">
        <f t="shared" si="2"/>
        <v>0</v>
      </c>
      <c r="BM6" s="352" t="s">
        <v>433</v>
      </c>
      <c r="BN6" s="355">
        <f t="shared" ref="BN6:DI6" si="3">BN4*0.2</f>
        <v>0</v>
      </c>
      <c r="BO6" s="355">
        <f t="shared" si="3"/>
        <v>135268.79218059112</v>
      </c>
      <c r="BP6" s="355">
        <f t="shared" si="3"/>
        <v>0</v>
      </c>
      <c r="BQ6" s="355">
        <f t="shared" si="3"/>
        <v>0</v>
      </c>
      <c r="BR6" s="355">
        <f t="shared" si="3"/>
        <v>0</v>
      </c>
      <c r="BS6" s="355">
        <f t="shared" si="3"/>
        <v>0</v>
      </c>
      <c r="BT6" s="355">
        <f t="shared" si="3"/>
        <v>0</v>
      </c>
      <c r="BU6" s="355">
        <f t="shared" si="3"/>
        <v>468931.81289271585</v>
      </c>
      <c r="BV6" s="355">
        <f t="shared" si="3"/>
        <v>0</v>
      </c>
      <c r="BW6" s="355">
        <f t="shared" si="3"/>
        <v>0</v>
      </c>
      <c r="BX6" s="355">
        <f t="shared" si="3"/>
        <v>0</v>
      </c>
      <c r="BY6" s="355">
        <f t="shared" si="3"/>
        <v>0</v>
      </c>
      <c r="BZ6" s="355">
        <f t="shared" si="3"/>
        <v>0</v>
      </c>
      <c r="CA6" s="355">
        <f t="shared" si="3"/>
        <v>189376.30905282754</v>
      </c>
      <c r="CB6" s="355">
        <f t="shared" si="3"/>
        <v>0</v>
      </c>
      <c r="CC6" s="355">
        <f t="shared" si="3"/>
        <v>0</v>
      </c>
      <c r="CD6" s="355">
        <f t="shared" si="3"/>
        <v>0</v>
      </c>
      <c r="CE6" s="355">
        <f t="shared" si="3"/>
        <v>0</v>
      </c>
      <c r="CF6" s="355">
        <f t="shared" si="3"/>
        <v>0</v>
      </c>
      <c r="CG6" s="355">
        <f t="shared" si="3"/>
        <v>145549.22038631604</v>
      </c>
      <c r="CH6" s="355">
        <f t="shared" si="3"/>
        <v>0</v>
      </c>
      <c r="CI6" s="355">
        <f t="shared" si="3"/>
        <v>0</v>
      </c>
      <c r="CJ6" s="355">
        <f t="shared" si="3"/>
        <v>0</v>
      </c>
      <c r="CK6" s="355">
        <f t="shared" si="3"/>
        <v>0</v>
      </c>
      <c r="CL6" s="355">
        <f t="shared" si="3"/>
        <v>0</v>
      </c>
      <c r="CM6" s="355">
        <f t="shared" si="3"/>
        <v>240057.01652315573</v>
      </c>
      <c r="CN6" s="355">
        <f t="shared" si="3"/>
        <v>0</v>
      </c>
      <c r="CO6" s="355">
        <f t="shared" si="3"/>
        <v>0</v>
      </c>
      <c r="CP6" s="355">
        <f t="shared" si="3"/>
        <v>0</v>
      </c>
      <c r="CQ6" s="355">
        <f t="shared" si="3"/>
        <v>0</v>
      </c>
      <c r="CR6" s="355">
        <f t="shared" si="3"/>
        <v>0</v>
      </c>
      <c r="CS6" s="355">
        <f t="shared" si="3"/>
        <v>1533046.3113800327</v>
      </c>
      <c r="CT6" s="355">
        <f t="shared" si="3"/>
        <v>0</v>
      </c>
      <c r="CU6" s="355">
        <f t="shared" si="3"/>
        <v>0</v>
      </c>
      <c r="CV6" s="355">
        <f t="shared" si="3"/>
        <v>0</v>
      </c>
      <c r="CW6" s="355">
        <f t="shared" si="3"/>
        <v>0</v>
      </c>
      <c r="CX6" s="355">
        <f t="shared" si="3"/>
        <v>0</v>
      </c>
      <c r="CY6" s="355">
        <f t="shared" si="3"/>
        <v>270537.58436118223</v>
      </c>
      <c r="CZ6" s="355">
        <f t="shared" si="3"/>
        <v>0</v>
      </c>
      <c r="DA6" s="355">
        <f t="shared" si="3"/>
        <v>0</v>
      </c>
      <c r="DB6" s="355">
        <f t="shared" si="3"/>
        <v>0</v>
      </c>
      <c r="DC6" s="355">
        <f t="shared" si="3"/>
        <v>0</v>
      </c>
      <c r="DD6" s="355">
        <f t="shared" si="3"/>
        <v>0</v>
      </c>
      <c r="DE6" s="355">
        <f t="shared" si="3"/>
        <v>117232.95322317896</v>
      </c>
      <c r="DF6" s="355">
        <f t="shared" si="3"/>
        <v>0</v>
      </c>
      <c r="DG6" s="355">
        <f t="shared" si="3"/>
        <v>0</v>
      </c>
      <c r="DH6" s="355">
        <f t="shared" si="3"/>
        <v>0</v>
      </c>
      <c r="DI6" s="355">
        <f t="shared" si="3"/>
        <v>0</v>
      </c>
    </row>
    <row r="7" spans="1:113" ht="14" x14ac:dyDescent="0.3">
      <c r="AG7" s="397"/>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row>
    <row r="8" spans="1:113" thickBot="1" x14ac:dyDescent="0.35">
      <c r="AG8" s="397" t="s">
        <v>434</v>
      </c>
      <c r="AH8" s="152">
        <f t="shared" ref="AH8:BI8" si="4">SUM(AH4:AH6)</f>
        <v>811612.75308354676</v>
      </c>
      <c r="AI8" s="152">
        <f t="shared" si="4"/>
        <v>2813590.877356295</v>
      </c>
      <c r="AJ8" s="152">
        <f t="shared" si="4"/>
        <v>1136257.8543169652</v>
      </c>
      <c r="AK8" s="152">
        <f t="shared" si="4"/>
        <v>873295.32231789618</v>
      </c>
      <c r="AL8" s="152">
        <f t="shared" si="4"/>
        <v>1440342.0991389342</v>
      </c>
      <c r="AM8" s="152">
        <f t="shared" si="4"/>
        <v>9198277.8682801966</v>
      </c>
      <c r="AN8" s="152">
        <f t="shared" si="4"/>
        <v>1623225.5061670935</v>
      </c>
      <c r="AO8" s="152">
        <f t="shared" si="4"/>
        <v>703397.71933907375</v>
      </c>
      <c r="AP8" s="152">
        <f t="shared" si="4"/>
        <v>0</v>
      </c>
      <c r="AQ8" s="152">
        <f t="shared" si="4"/>
        <v>0</v>
      </c>
      <c r="AR8" s="152">
        <f t="shared" si="4"/>
        <v>0</v>
      </c>
      <c r="AS8" s="152">
        <f t="shared" si="4"/>
        <v>0</v>
      </c>
      <c r="AT8" s="152">
        <f t="shared" si="4"/>
        <v>0</v>
      </c>
      <c r="AU8" s="152">
        <f t="shared" si="4"/>
        <v>0</v>
      </c>
      <c r="AV8" s="152">
        <f t="shared" si="4"/>
        <v>0</v>
      </c>
      <c r="AW8" s="152">
        <f t="shared" si="4"/>
        <v>0</v>
      </c>
      <c r="AX8" s="152">
        <f t="shared" si="4"/>
        <v>0</v>
      </c>
      <c r="AY8" s="152">
        <f t="shared" si="4"/>
        <v>0</v>
      </c>
      <c r="AZ8" s="152">
        <f t="shared" si="4"/>
        <v>0</v>
      </c>
      <c r="BA8" s="152">
        <f t="shared" si="4"/>
        <v>0</v>
      </c>
      <c r="BB8" s="152">
        <f t="shared" si="4"/>
        <v>0</v>
      </c>
      <c r="BC8" s="152">
        <f t="shared" si="4"/>
        <v>0</v>
      </c>
      <c r="BD8" s="152">
        <f t="shared" si="4"/>
        <v>0</v>
      </c>
      <c r="BE8" s="152">
        <f t="shared" si="4"/>
        <v>0</v>
      </c>
      <c r="BF8" s="152">
        <f t="shared" si="4"/>
        <v>0</v>
      </c>
      <c r="BG8" s="152">
        <f t="shared" si="4"/>
        <v>0</v>
      </c>
      <c r="BH8" s="152">
        <f t="shared" si="4"/>
        <v>0</v>
      </c>
      <c r="BI8" s="152">
        <f t="shared" si="4"/>
        <v>0</v>
      </c>
      <c r="BJ8" s="152">
        <f>SUM(BJ4:BJ6)</f>
        <v>0</v>
      </c>
      <c r="BM8" s="352" t="s">
        <v>434</v>
      </c>
      <c r="BN8" s="110">
        <f>SUM(BN4:BN6)</f>
        <v>0</v>
      </c>
      <c r="BO8" s="110">
        <f t="shared" ref="BO8:DI8" si="5">SUM(BO4:BO6)</f>
        <v>811612.75308354676</v>
      </c>
      <c r="BP8" s="110">
        <f t="shared" si="5"/>
        <v>0</v>
      </c>
      <c r="BQ8" s="110">
        <f t="shared" si="5"/>
        <v>0</v>
      </c>
      <c r="BR8" s="110">
        <f t="shared" si="5"/>
        <v>0</v>
      </c>
      <c r="BS8" s="110">
        <f t="shared" si="5"/>
        <v>0</v>
      </c>
      <c r="BT8" s="110">
        <f t="shared" si="5"/>
        <v>0</v>
      </c>
      <c r="BU8" s="110">
        <f t="shared" si="5"/>
        <v>2813590.877356295</v>
      </c>
      <c r="BV8" s="110">
        <f t="shared" si="5"/>
        <v>0</v>
      </c>
      <c r="BW8" s="110">
        <f t="shared" si="5"/>
        <v>0</v>
      </c>
      <c r="BX8" s="110">
        <f t="shared" si="5"/>
        <v>0</v>
      </c>
      <c r="BY8" s="110">
        <f t="shared" si="5"/>
        <v>0</v>
      </c>
      <c r="BZ8" s="110">
        <f t="shared" si="5"/>
        <v>0</v>
      </c>
      <c r="CA8" s="110">
        <f t="shared" si="5"/>
        <v>1136257.8543169652</v>
      </c>
      <c r="CB8" s="110">
        <f t="shared" si="5"/>
        <v>0</v>
      </c>
      <c r="CC8" s="110">
        <f t="shared" si="5"/>
        <v>0</v>
      </c>
      <c r="CD8" s="110">
        <f t="shared" si="5"/>
        <v>0</v>
      </c>
      <c r="CE8" s="110">
        <f t="shared" si="5"/>
        <v>0</v>
      </c>
      <c r="CF8" s="110">
        <f t="shared" si="5"/>
        <v>0</v>
      </c>
      <c r="CG8" s="110">
        <f t="shared" si="5"/>
        <v>873295.32231789618</v>
      </c>
      <c r="CH8" s="110">
        <f t="shared" si="5"/>
        <v>0</v>
      </c>
      <c r="CI8" s="110">
        <f t="shared" si="5"/>
        <v>0</v>
      </c>
      <c r="CJ8" s="110">
        <f t="shared" si="5"/>
        <v>0</v>
      </c>
      <c r="CK8" s="110">
        <f t="shared" si="5"/>
        <v>0</v>
      </c>
      <c r="CL8" s="110">
        <f t="shared" si="5"/>
        <v>0</v>
      </c>
      <c r="CM8" s="110">
        <f t="shared" si="5"/>
        <v>1440342.0991389342</v>
      </c>
      <c r="CN8" s="110">
        <f t="shared" si="5"/>
        <v>0</v>
      </c>
      <c r="CO8" s="110">
        <f t="shared" si="5"/>
        <v>0</v>
      </c>
      <c r="CP8" s="110">
        <f t="shared" si="5"/>
        <v>0</v>
      </c>
      <c r="CQ8" s="110">
        <f t="shared" si="5"/>
        <v>0</v>
      </c>
      <c r="CR8" s="110">
        <f t="shared" si="5"/>
        <v>0</v>
      </c>
      <c r="CS8" s="110">
        <f t="shared" si="5"/>
        <v>9198277.8682801966</v>
      </c>
      <c r="CT8" s="110">
        <f t="shared" si="5"/>
        <v>0</v>
      </c>
      <c r="CU8" s="110">
        <f t="shared" si="5"/>
        <v>0</v>
      </c>
      <c r="CV8" s="110">
        <f t="shared" si="5"/>
        <v>0</v>
      </c>
      <c r="CW8" s="110">
        <f t="shared" si="5"/>
        <v>0</v>
      </c>
      <c r="CX8" s="110">
        <f t="shared" si="5"/>
        <v>0</v>
      </c>
      <c r="CY8" s="110">
        <f t="shared" si="5"/>
        <v>1623225.5061670935</v>
      </c>
      <c r="CZ8" s="110">
        <f t="shared" si="5"/>
        <v>0</v>
      </c>
      <c r="DA8" s="110">
        <f t="shared" si="5"/>
        <v>0</v>
      </c>
      <c r="DB8" s="110">
        <f t="shared" si="5"/>
        <v>0</v>
      </c>
      <c r="DC8" s="110">
        <f t="shared" si="5"/>
        <v>0</v>
      </c>
      <c r="DD8" s="110">
        <f t="shared" si="5"/>
        <v>0</v>
      </c>
      <c r="DE8" s="110">
        <f t="shared" si="5"/>
        <v>703397.71933907375</v>
      </c>
      <c r="DF8" s="110">
        <f t="shared" si="5"/>
        <v>0</v>
      </c>
      <c r="DG8" s="110">
        <f t="shared" si="5"/>
        <v>0</v>
      </c>
      <c r="DH8" s="110">
        <f t="shared" si="5"/>
        <v>0</v>
      </c>
      <c r="DI8" s="110">
        <f t="shared" si="5"/>
        <v>0</v>
      </c>
    </row>
    <row r="9" spans="1:113" thickTop="1" x14ac:dyDescent="0.3">
      <c r="AG9" s="397"/>
      <c r="BM9" s="356"/>
      <c r="BN9" s="348"/>
      <c r="BO9" s="348"/>
      <c r="BP9" s="348"/>
      <c r="BQ9" s="348"/>
      <c r="BR9" s="348"/>
      <c r="BS9" s="351">
        <f>SUM(BN8:BS8)</f>
        <v>811612.75308354676</v>
      </c>
      <c r="BT9" s="348"/>
      <c r="BU9" s="348"/>
      <c r="BV9" s="348"/>
      <c r="BW9" s="348"/>
      <c r="BX9" s="348"/>
      <c r="BY9" s="351">
        <f>SUM(BT8:BY8)</f>
        <v>2813590.877356295</v>
      </c>
      <c r="BZ9" s="348"/>
      <c r="CA9" s="348"/>
      <c r="CB9" s="348"/>
      <c r="CC9" s="348"/>
      <c r="CD9" s="348"/>
      <c r="CE9" s="351">
        <f>SUM(BZ8:CE8)</f>
        <v>1136257.8543169652</v>
      </c>
      <c r="CF9" s="348"/>
      <c r="CG9" s="348"/>
      <c r="CH9" s="348"/>
      <c r="CI9" s="348"/>
      <c r="CJ9" s="348"/>
      <c r="CK9" s="351">
        <f>SUM(CF8:CK8)</f>
        <v>873295.32231789618</v>
      </c>
      <c r="CL9" s="348"/>
      <c r="CM9" s="348"/>
      <c r="CN9" s="348"/>
      <c r="CO9" s="348"/>
      <c r="CP9" s="348"/>
      <c r="CQ9" s="351">
        <f>SUM(CL8:CQ8)</f>
        <v>1440342.0991389342</v>
      </c>
      <c r="CR9" s="348"/>
      <c r="CS9" s="348"/>
      <c r="CT9" s="348"/>
      <c r="CU9" s="348"/>
      <c r="CV9" s="348"/>
      <c r="CW9" s="351">
        <f>SUM(CR8:CW8)</f>
        <v>9198277.8682801966</v>
      </c>
      <c r="CX9" s="348"/>
      <c r="CY9" s="348"/>
      <c r="CZ9" s="348"/>
      <c r="DA9" s="348"/>
      <c r="DB9" s="348"/>
      <c r="DC9" s="351">
        <f>SUM(CX8:DC8)</f>
        <v>1623225.5061670935</v>
      </c>
      <c r="DD9" s="348"/>
      <c r="DE9" s="348"/>
      <c r="DF9" s="348"/>
      <c r="DG9" s="348"/>
      <c r="DH9" s="348"/>
      <c r="DI9" s="351">
        <f>SUM(DD8:DI8)</f>
        <v>703397.71933907375</v>
      </c>
    </row>
    <row r="10" spans="1:113" ht="14" x14ac:dyDescent="0.3">
      <c r="BM10" s="356"/>
      <c r="BN10" s="348"/>
      <c r="BO10" s="348"/>
      <c r="BP10" s="348"/>
      <c r="BQ10" s="348"/>
      <c r="BR10" s="348"/>
      <c r="BS10" s="350" t="b">
        <f>BS9=AH8</f>
        <v>1</v>
      </c>
      <c r="BT10" s="348"/>
      <c r="BU10" s="348"/>
      <c r="BV10" s="348"/>
      <c r="BW10" s="348"/>
      <c r="BX10" s="348"/>
      <c r="BY10" s="350" t="b">
        <f>BY9=AI8</f>
        <v>1</v>
      </c>
      <c r="BZ10" s="348"/>
      <c r="CA10" s="348"/>
      <c r="CB10" s="348"/>
      <c r="CC10" s="348"/>
      <c r="CD10" s="348"/>
      <c r="CE10" s="350" t="b">
        <f>CE9=AJ8</f>
        <v>1</v>
      </c>
      <c r="CF10" s="348"/>
      <c r="CG10" s="348"/>
      <c r="CH10" s="348"/>
      <c r="CI10" s="348"/>
      <c r="CJ10" s="348"/>
      <c r="CK10" s="350" t="b">
        <f>CK9=AK8</f>
        <v>1</v>
      </c>
      <c r="CL10" s="348"/>
      <c r="CM10" s="348"/>
      <c r="CN10" s="348"/>
      <c r="CO10" s="348"/>
      <c r="CP10" s="348"/>
      <c r="CQ10" s="350" t="b">
        <f>CQ9=AL8</f>
        <v>1</v>
      </c>
      <c r="CR10" s="348"/>
      <c r="CS10" s="348"/>
      <c r="CT10" s="348"/>
      <c r="CU10" s="348"/>
      <c r="CV10" s="348"/>
      <c r="CW10" s="350" t="b">
        <f>CW9=AM8</f>
        <v>1</v>
      </c>
      <c r="CX10" s="348"/>
      <c r="CY10" s="348"/>
      <c r="CZ10" s="348"/>
      <c r="DA10" s="348"/>
      <c r="DB10" s="348"/>
      <c r="DC10" s="350" t="b">
        <f>DC9=AN8</f>
        <v>1</v>
      </c>
      <c r="DD10" s="348"/>
      <c r="DE10" s="348"/>
      <c r="DF10" s="348"/>
      <c r="DG10" s="348"/>
      <c r="DH10" s="348"/>
      <c r="DI10" s="350" t="b">
        <f>DI9=AO8</f>
        <v>1</v>
      </c>
    </row>
    <row r="11" spans="1:113" ht="14" x14ac:dyDescent="0.3">
      <c r="AH11" s="278">
        <f>AH6/AH4</f>
        <v>0.19999999999999998</v>
      </c>
      <c r="AI11" s="278">
        <f t="shared" ref="AI11:AN11" si="6">AI6/AI4</f>
        <v>0.2</v>
      </c>
      <c r="AJ11" s="278">
        <f t="shared" si="6"/>
        <v>0.2</v>
      </c>
      <c r="AK11" s="278">
        <f t="shared" si="6"/>
        <v>0.2</v>
      </c>
      <c r="AL11" s="278">
        <f t="shared" si="6"/>
        <v>0.2</v>
      </c>
      <c r="AM11" s="278">
        <f t="shared" si="6"/>
        <v>0.2</v>
      </c>
      <c r="AN11" s="278">
        <f t="shared" si="6"/>
        <v>0.19999999999999998</v>
      </c>
      <c r="BM11" s="356"/>
      <c r="BN11" s="348"/>
      <c r="BO11" s="348"/>
      <c r="BP11" s="348"/>
      <c r="BQ11" s="348"/>
      <c r="BR11" s="348"/>
      <c r="BS11" s="348"/>
      <c r="BT11" s="348"/>
      <c r="BU11" s="348"/>
      <c r="BV11" s="348"/>
      <c r="BW11" s="348"/>
      <c r="BX11" s="348"/>
      <c r="BY11" s="348"/>
      <c r="BZ11" s="348"/>
      <c r="CA11" s="348"/>
      <c r="CB11" s="348"/>
      <c r="CC11" s="348"/>
      <c r="CD11" s="348"/>
      <c r="CE11" s="348"/>
      <c r="CF11" s="348"/>
      <c r="CG11" s="348"/>
      <c r="CH11" s="348"/>
      <c r="CI11" s="348"/>
      <c r="CJ11" s="348"/>
      <c r="CK11" s="348"/>
      <c r="CL11" s="348"/>
      <c r="CM11" s="348"/>
      <c r="CN11" s="348"/>
      <c r="CO11" s="348"/>
      <c r="CP11" s="348"/>
      <c r="CQ11" s="348"/>
      <c r="CR11" s="348"/>
      <c r="CS11" s="348"/>
      <c r="CT11" s="348"/>
      <c r="CU11" s="348"/>
      <c r="CV11" s="348"/>
      <c r="CW11" s="348"/>
      <c r="CX11" s="348"/>
      <c r="CY11" s="348"/>
      <c r="CZ11" s="348"/>
      <c r="DA11" s="348"/>
      <c r="DB11" s="348"/>
      <c r="DC11" s="348"/>
      <c r="DD11" s="348"/>
      <c r="DE11" s="348"/>
      <c r="DF11" s="348"/>
      <c r="DG11" s="348"/>
      <c r="DH11" s="348"/>
      <c r="DI11" s="348"/>
    </row>
    <row r="12" spans="1:113" ht="14" x14ac:dyDescent="0.3">
      <c r="AJ12" s="406"/>
      <c r="BM12" s="356"/>
      <c r="BN12" s="348"/>
      <c r="BO12" s="348"/>
      <c r="BP12" s="348"/>
      <c r="BQ12" s="348"/>
      <c r="BR12" s="348"/>
      <c r="BS12" s="348"/>
      <c r="BT12" s="348"/>
      <c r="BU12" s="348"/>
      <c r="BV12" s="348"/>
      <c r="BW12" s="348"/>
      <c r="BX12" s="348"/>
      <c r="BY12" s="348"/>
      <c r="BZ12" s="348"/>
      <c r="CA12" s="348"/>
      <c r="CB12" s="348"/>
      <c r="CC12" s="348"/>
      <c r="CD12" s="348"/>
      <c r="CE12" s="348"/>
      <c r="CF12" s="348"/>
      <c r="CG12" s="348"/>
      <c r="CH12" s="348"/>
      <c r="CI12" s="348"/>
      <c r="CJ12" s="348"/>
      <c r="CK12" s="348"/>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48"/>
    </row>
    <row r="13" spans="1:113" ht="14" x14ac:dyDescent="0.3">
      <c r="AJ13" s="406"/>
      <c r="BM13" s="356"/>
      <c r="BN13" s="348"/>
      <c r="BO13" s="348"/>
      <c r="BP13" s="348"/>
      <c r="BQ13" s="348"/>
      <c r="BR13" s="348"/>
      <c r="BS13" s="348"/>
      <c r="BT13" s="348"/>
      <c r="BU13" s="348"/>
      <c r="BV13" s="348"/>
      <c r="BW13" s="348"/>
      <c r="BX13" s="348"/>
      <c r="BY13" s="348"/>
      <c r="BZ13" s="348"/>
      <c r="CA13" s="348"/>
      <c r="CB13" s="348"/>
      <c r="CC13" s="348"/>
      <c r="CD13" s="348"/>
      <c r="CE13" s="348"/>
      <c r="CF13" s="348"/>
      <c r="CG13" s="348"/>
      <c r="CH13" s="348"/>
      <c r="CI13" s="348"/>
      <c r="CJ13" s="348"/>
      <c r="CK13" s="348"/>
      <c r="CL13" s="348"/>
      <c r="CM13" s="348"/>
      <c r="CN13" s="348"/>
      <c r="CO13" s="348"/>
      <c r="CP13" s="348"/>
      <c r="CQ13" s="348"/>
      <c r="CR13" s="348"/>
      <c r="CS13" s="348"/>
      <c r="CT13" s="348"/>
      <c r="CU13" s="348"/>
      <c r="CV13" s="348"/>
      <c r="CW13" s="348"/>
      <c r="CX13" s="348"/>
      <c r="CY13" s="348"/>
      <c r="CZ13" s="348"/>
      <c r="DA13" s="348"/>
      <c r="DB13" s="348"/>
      <c r="DC13" s="348"/>
      <c r="DD13" s="348"/>
      <c r="DE13" s="348"/>
      <c r="DF13" s="348"/>
      <c r="DG13" s="348"/>
      <c r="DH13" s="348"/>
      <c r="DI13" s="348"/>
    </row>
    <row r="14" spans="1:113" ht="14" x14ac:dyDescent="0.3">
      <c r="BM14" s="356"/>
      <c r="BN14" s="348"/>
      <c r="BO14" s="348"/>
      <c r="BP14" s="348"/>
      <c r="BQ14" s="348"/>
      <c r="BR14" s="348"/>
      <c r="BS14" s="348"/>
      <c r="BT14" s="348"/>
      <c r="BU14" s="348"/>
      <c r="BV14" s="348"/>
      <c r="BW14" s="348"/>
      <c r="BX14" s="348"/>
      <c r="BY14" s="348"/>
      <c r="BZ14" s="348"/>
      <c r="CA14" s="348"/>
      <c r="CB14" s="348"/>
      <c r="CC14" s="348"/>
      <c r="CD14" s="348"/>
      <c r="CE14" s="348"/>
      <c r="CF14" s="348"/>
      <c r="CG14" s="348"/>
      <c r="CH14" s="348"/>
      <c r="CI14" s="348"/>
      <c r="CJ14" s="348"/>
      <c r="CK14" s="348"/>
      <c r="CL14" s="348"/>
      <c r="CM14" s="348"/>
      <c r="CN14" s="348"/>
      <c r="CO14" s="348"/>
      <c r="CP14" s="348"/>
      <c r="CQ14" s="348"/>
      <c r="CR14" s="348"/>
      <c r="CS14" s="348"/>
      <c r="CT14" s="348"/>
      <c r="CU14" s="348"/>
      <c r="CV14" s="348"/>
      <c r="CW14" s="348"/>
      <c r="CX14" s="348"/>
      <c r="CY14" s="348"/>
      <c r="CZ14" s="348"/>
      <c r="DA14" s="348"/>
      <c r="DB14" s="348"/>
      <c r="DC14" s="348"/>
      <c r="DD14" s="348"/>
      <c r="DE14" s="348"/>
      <c r="DF14" s="348"/>
      <c r="DG14" s="348"/>
      <c r="DH14" s="348"/>
      <c r="DI14" s="348"/>
    </row>
    <row r="15" spans="1:113" ht="14" x14ac:dyDescent="0.3">
      <c r="BM15" s="356"/>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row>
    <row r="16" spans="1:113" ht="14" x14ac:dyDescent="0.3">
      <c r="BM16" s="356"/>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row>
    <row r="17" spans="65:113" x14ac:dyDescent="0.35">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row>
    <row r="18" spans="65:113" x14ac:dyDescent="0.35">
      <c r="BN18" s="348"/>
      <c r="BO18" s="348"/>
      <c r="BP18" s="348"/>
      <c r="BQ18" s="348"/>
      <c r="BR18" s="348"/>
      <c r="BS18" s="348"/>
      <c r="BT18" s="348"/>
      <c r="BU18" s="348"/>
      <c r="BV18" s="348"/>
      <c r="BW18" s="348"/>
      <c r="BX18" s="348"/>
      <c r="BY18" s="348"/>
      <c r="BZ18" s="348"/>
      <c r="CA18" s="348"/>
      <c r="CB18" s="348"/>
      <c r="CC18" s="348"/>
      <c r="CD18" s="348"/>
      <c r="CE18" s="348"/>
      <c r="CF18" s="348"/>
      <c r="CG18" s="348"/>
      <c r="CH18" s="348"/>
      <c r="CI18" s="348"/>
      <c r="CJ18" s="348"/>
      <c r="CK18" s="348"/>
      <c r="CL18" s="348"/>
      <c r="CM18" s="348"/>
      <c r="CN18" s="348"/>
      <c r="CO18" s="348"/>
      <c r="CP18" s="348"/>
      <c r="CQ18" s="348"/>
      <c r="CR18" s="348"/>
      <c r="CS18" s="348"/>
      <c r="CT18" s="348"/>
      <c r="CU18" s="348"/>
      <c r="CV18" s="348"/>
      <c r="CW18" s="348"/>
      <c r="CX18" s="348"/>
      <c r="CY18" s="348"/>
      <c r="CZ18" s="348"/>
      <c r="DA18" s="348"/>
      <c r="DB18" s="348"/>
      <c r="DC18" s="348"/>
      <c r="DD18" s="348"/>
      <c r="DE18" s="348"/>
      <c r="DF18" s="348"/>
      <c r="DG18" s="348"/>
      <c r="DH18" s="348"/>
      <c r="DI18" s="348"/>
    </row>
    <row r="19" spans="65:113" x14ac:dyDescent="0.35">
      <c r="BN19" s="348"/>
      <c r="BO19" s="348"/>
      <c r="BP19" s="348"/>
      <c r="BQ19" s="348"/>
      <c r="BR19" s="348"/>
      <c r="BS19" s="348"/>
      <c r="BT19" s="348"/>
      <c r="BU19" s="348"/>
      <c r="BV19" s="348"/>
      <c r="BW19" s="348"/>
      <c r="BX19" s="348"/>
      <c r="BY19" s="348"/>
      <c r="BZ19" s="348"/>
      <c r="CA19" s="348"/>
      <c r="CB19" s="348"/>
      <c r="CC19" s="348"/>
      <c r="CD19" s="348"/>
      <c r="CE19" s="348"/>
      <c r="CF19" s="348"/>
      <c r="CG19" s="348"/>
      <c r="CH19" s="348"/>
      <c r="CI19" s="348"/>
      <c r="CJ19" s="348"/>
      <c r="CK19" s="348"/>
      <c r="CL19" s="348"/>
      <c r="CM19" s="348"/>
      <c r="CN19" s="348"/>
      <c r="CO19" s="348"/>
      <c r="CP19" s="348"/>
      <c r="CQ19" s="348"/>
      <c r="CR19" s="348"/>
      <c r="CS19" s="348"/>
      <c r="CT19" s="348"/>
      <c r="CU19" s="348"/>
      <c r="CV19" s="348"/>
      <c r="CW19" s="348"/>
      <c r="CX19" s="348"/>
      <c r="CY19" s="348"/>
      <c r="CZ19" s="348"/>
      <c r="DA19" s="348"/>
      <c r="DB19" s="348"/>
      <c r="DC19" s="348"/>
      <c r="DD19" s="348"/>
      <c r="DE19" s="348"/>
      <c r="DF19" s="348"/>
      <c r="DG19" s="348"/>
      <c r="DH19" s="348"/>
      <c r="DI19" s="348"/>
    </row>
    <row r="20" spans="65:113" x14ac:dyDescent="0.35">
      <c r="BN20" s="348"/>
      <c r="BO20" s="348"/>
      <c r="BP20" s="348"/>
      <c r="BQ20" s="348"/>
      <c r="BR20" s="348"/>
      <c r="BS20" s="348"/>
      <c r="BT20" s="348"/>
      <c r="BU20" s="348"/>
      <c r="BV20" s="348"/>
      <c r="BW20" s="348"/>
      <c r="BX20" s="348"/>
      <c r="BY20" s="348"/>
      <c r="BZ20" s="348"/>
      <c r="CA20" s="348"/>
      <c r="CB20" s="348"/>
      <c r="CC20" s="348"/>
      <c r="CD20" s="348"/>
      <c r="CE20" s="348"/>
      <c r="CF20" s="348"/>
      <c r="CG20" s="348"/>
      <c r="CH20" s="348"/>
      <c r="CI20" s="348"/>
      <c r="CJ20" s="348"/>
      <c r="CK20" s="348"/>
      <c r="CL20" s="348"/>
      <c r="CM20" s="348"/>
      <c r="CN20" s="348"/>
      <c r="CO20" s="348"/>
      <c r="CP20" s="348"/>
      <c r="CQ20" s="348"/>
      <c r="CR20" s="348"/>
      <c r="CS20" s="348"/>
      <c r="CT20" s="348"/>
      <c r="CU20" s="348"/>
      <c r="CV20" s="348"/>
      <c r="CW20" s="348"/>
      <c r="CX20" s="348"/>
      <c r="CY20" s="348"/>
      <c r="CZ20" s="348"/>
      <c r="DA20" s="348"/>
      <c r="DB20" s="348"/>
      <c r="DC20" s="348"/>
      <c r="DD20" s="348"/>
      <c r="DE20" s="348"/>
      <c r="DF20" s="348"/>
      <c r="DG20" s="348"/>
      <c r="DH20" s="348"/>
      <c r="DI20" s="348"/>
    </row>
    <row r="21" spans="65:113" x14ac:dyDescent="0.35">
      <c r="BN21" s="348"/>
      <c r="BO21" s="348"/>
      <c r="BP21" s="348"/>
      <c r="BQ21" s="348"/>
      <c r="BR21" s="348"/>
      <c r="BS21" s="348"/>
      <c r="BT21" s="348"/>
      <c r="BU21" s="348"/>
      <c r="BV21" s="348"/>
      <c r="BW21" s="348"/>
      <c r="BX21" s="348"/>
      <c r="BY21" s="348"/>
      <c r="BZ21" s="348"/>
      <c r="CA21" s="348"/>
      <c r="CB21" s="348"/>
      <c r="CC21" s="348"/>
      <c r="CD21" s="348"/>
      <c r="CE21" s="348"/>
      <c r="CF21" s="348"/>
      <c r="CG21" s="348"/>
      <c r="CH21" s="348"/>
      <c r="CI21" s="348"/>
      <c r="CJ21" s="348"/>
      <c r="CK21" s="348"/>
      <c r="CL21" s="348"/>
      <c r="CM21" s="348"/>
      <c r="CN21" s="348"/>
      <c r="CO21" s="348"/>
      <c r="CP21" s="348"/>
      <c r="CQ21" s="348"/>
      <c r="CR21" s="348"/>
      <c r="CS21" s="348"/>
      <c r="CT21" s="348"/>
      <c r="CU21" s="348"/>
      <c r="CV21" s="348"/>
      <c r="CW21" s="348"/>
      <c r="CX21" s="348"/>
      <c r="CY21" s="348"/>
      <c r="CZ21" s="348"/>
      <c r="DA21" s="348"/>
      <c r="DB21" s="348"/>
      <c r="DC21" s="348"/>
      <c r="DD21" s="348"/>
      <c r="DE21" s="348"/>
      <c r="DF21" s="348"/>
      <c r="DG21" s="348"/>
      <c r="DH21" s="348"/>
      <c r="DI21" s="348"/>
    </row>
    <row r="22" spans="65:113" x14ac:dyDescent="0.35">
      <c r="BN22" s="348"/>
      <c r="BO22" s="348"/>
      <c r="BP22" s="348"/>
      <c r="BQ22" s="348"/>
      <c r="BR22" s="348"/>
      <c r="BS22" s="348"/>
      <c r="BT22" s="348"/>
      <c r="BU22" s="348"/>
      <c r="BV22" s="348"/>
      <c r="BW22" s="348"/>
      <c r="BX22" s="348"/>
      <c r="BY22" s="348"/>
      <c r="BZ22" s="348"/>
      <c r="CA22" s="348"/>
      <c r="CB22" s="348"/>
      <c r="CC22" s="348"/>
      <c r="CD22" s="348"/>
      <c r="CE22" s="348"/>
      <c r="CF22" s="348"/>
      <c r="CG22" s="348"/>
      <c r="CH22" s="348"/>
      <c r="CI22" s="348"/>
      <c r="CJ22" s="348"/>
      <c r="CK22" s="348"/>
      <c r="CL22" s="348"/>
      <c r="CM22" s="348"/>
      <c r="CN22" s="348"/>
      <c r="CO22" s="348"/>
      <c r="CP22" s="348"/>
      <c r="CQ22" s="348"/>
      <c r="CR22" s="348"/>
      <c r="CS22" s="348"/>
      <c r="CT22" s="348"/>
      <c r="CU22" s="348"/>
      <c r="CV22" s="348"/>
      <c r="CW22" s="348"/>
      <c r="CX22" s="348"/>
      <c r="CY22" s="348"/>
      <c r="CZ22" s="348"/>
      <c r="DA22" s="348"/>
      <c r="DB22" s="348"/>
      <c r="DC22" s="348"/>
      <c r="DD22" s="348"/>
      <c r="DE22" s="348"/>
      <c r="DF22" s="348"/>
      <c r="DG22" s="348"/>
      <c r="DH22" s="348"/>
      <c r="DI22" s="348"/>
    </row>
    <row r="23" spans="65:113" x14ac:dyDescent="0.35">
      <c r="BM23" s="348"/>
    </row>
    <row r="24" spans="65:113" x14ac:dyDescent="0.35">
      <c r="BM24" s="348"/>
    </row>
    <row r="25" spans="65:113" x14ac:dyDescent="0.35">
      <c r="BM25" s="348"/>
    </row>
    <row r="26" spans="65:113" x14ac:dyDescent="0.35">
      <c r="BM26" s="348"/>
    </row>
    <row r="27" spans="65:113" x14ac:dyDescent="0.35">
      <c r="BM27" s="348"/>
    </row>
    <row r="28" spans="65:113" x14ac:dyDescent="0.35">
      <c r="BM28" s="348"/>
    </row>
    <row r="29" spans="65:113" x14ac:dyDescent="0.35">
      <c r="BM29" s="348"/>
    </row>
    <row r="30" spans="65:113" x14ac:dyDescent="0.35">
      <c r="BM30" s="348"/>
    </row>
    <row r="31" spans="65:113" x14ac:dyDescent="0.35">
      <c r="BM31" s="348"/>
    </row>
    <row r="32" spans="65:113" x14ac:dyDescent="0.35">
      <c r="BM32" s="348"/>
    </row>
    <row r="33" spans="65:65" x14ac:dyDescent="0.35">
      <c r="BM33" s="348"/>
    </row>
    <row r="34" spans="65:65" x14ac:dyDescent="0.35">
      <c r="BM34" s="348"/>
    </row>
    <row r="35" spans="65:65" x14ac:dyDescent="0.35">
      <c r="BM35" s="348"/>
    </row>
    <row r="36" spans="65:65" x14ac:dyDescent="0.35">
      <c r="BM36" s="348"/>
    </row>
  </sheetData>
  <mergeCells count="8">
    <mergeCell ref="CX1:DC1"/>
    <mergeCell ref="DD1:DI1"/>
    <mergeCell ref="BN1:BS1"/>
    <mergeCell ref="BT1:BY1"/>
    <mergeCell ref="BZ1:CE1"/>
    <mergeCell ref="CF1:CK1"/>
    <mergeCell ref="CL1:CQ1"/>
    <mergeCell ref="CR1:CW1"/>
  </mergeCells>
  <conditionalFormatting sqref="D2:D3">
    <cfRule type="containsText" dxfId="354" priority="12" operator="containsText" text="Critical">
      <formula>NOT(ISERROR(SEARCH("Critical",D2)))</formula>
    </cfRule>
    <cfRule type="containsText" dxfId="353" priority="13" operator="containsText" text="Essential">
      <formula>NOT(ISERROR(SEARCH("Essential",D2)))</formula>
    </cfRule>
    <cfRule type="containsText" dxfId="352" priority="14" operator="containsText" text="Desirable">
      <formula>NOT(ISERROR(SEARCH("Desirable",D2)))</formula>
    </cfRule>
  </conditionalFormatting>
  <pageMargins left="0.7" right="0.7" top="0.75" bottom="0.75" header="0.3" footer="0.3"/>
  <pageSetup paperSize="262" orientation="portrait" verticalDpi="1200" r:id="rId1"/>
  <extLst>
    <ext xmlns:x14="http://schemas.microsoft.com/office/spreadsheetml/2009/9/main" uri="{78C0D931-6437-407d-A8EE-F0AAD7539E65}">
      <x14:conditionalFormattings>
        <x14:conditionalFormatting xmlns:xm="http://schemas.microsoft.com/office/excel/2006/main">
          <x14:cfRule type="containsText" priority="1" operator="containsText" text="Critical" id="{87CE9941-9211-4EF9-99F6-BE80407FE6E7}">
            <xm:f>NOT(ISERROR(SEARCH("Critical",'K:\Projects\HGGT0003 - HGGT IDP Update 2021-22\[20190414_HGGT_IDP_2019_Schedule.xlsx]Utilities'!#REF!)))</xm:f>
            <x14:dxf>
              <font>
                <color theme="0"/>
              </font>
              <fill>
                <patternFill>
                  <bgColor rgb="FFFF0000"/>
                </patternFill>
              </fill>
            </x14:dxf>
          </x14:cfRule>
          <x14:cfRule type="containsText" priority="2" operator="containsText" text="Essential" id="{6577F7CB-DA7F-4042-A508-2A415E9A4F6D}">
            <xm:f>NOT(ISERROR(SEARCH("Essential",'K:\Projects\HGGT0003 - HGGT IDP Update 2021-22\[20190414_HGGT_IDP_2019_Schedule.xlsx]Utilities'!#REF!)))</xm:f>
            <x14:dxf>
              <font>
                <color theme="0"/>
              </font>
              <fill>
                <patternFill>
                  <bgColor rgb="FFFFC000"/>
                </patternFill>
              </fill>
            </x14:dxf>
          </x14:cfRule>
          <x14:cfRule type="containsText" priority="3" operator="containsText" text="Desirable" id="{FEE8BEBA-221E-408F-A68F-7A3D3AE7E0C9}">
            <xm:f>NOT(ISERROR(SEARCH("Desirable",'K:\Projects\HGGT0003 - HGGT IDP Update 2021-22\[20190414_HGGT_IDP_2019_Schedule.xlsx]Utilities'!#REF!)))</xm:f>
            <x14:dxf>
              <font>
                <color theme="0"/>
              </font>
              <fill>
                <patternFill>
                  <bgColor rgb="FF92D050"/>
                </patternFill>
              </fill>
            </x14:dxf>
          </x14:cfRule>
          <x14:cfRule type="containsText" priority="4" operator="containsText" text="Critical" id="{95658712-CB40-415B-B398-1EEA1E11B9DD}">
            <xm:f>NOT(ISERROR(SEARCH("Critical",'K:\Projects\HGGT0003 - HGGT IDP Update 2021-22\[20190414_HGGT_IDP_2019_Schedule.xlsx]Utilities'!#REF!)))</xm:f>
            <x14:dxf>
              <fill>
                <patternFill>
                  <bgColor rgb="FFFF0000"/>
                </patternFill>
              </fill>
            </x14:dxf>
          </x14:cfRule>
          <xm:sqref>D1</xm:sqref>
        </x14:conditionalFormatting>
        <x14:conditionalFormatting xmlns:xm="http://schemas.microsoft.com/office/excel/2006/main">
          <x14:cfRule type="containsText" priority="5" operator="containsText" text="20+" id="{59F78A7C-7570-4055-93C5-96C64DB293F4}">
            <xm:f>NOT(ISERROR(SEARCH("20+",'K:\Projects\HGGT0003 - HGGT IDP Update 2021-22\[20190414_HGGT_IDP_2019_Schedule.xlsx]Utilities'!#REF!)))</xm:f>
            <x14:dxf>
              <fill>
                <patternFill>
                  <bgColor theme="3" tint="0.59996337778862885"/>
                </patternFill>
              </fill>
            </x14:dxf>
          </x14:cfRule>
          <x14:cfRule type="containsText" priority="6" operator="containsText" text="unknown" id="{6B0B91BA-0442-4CFE-BD91-A2EF1BA3A460}">
            <xm:f>NOT(ISERROR(SEARCH("unknown",'K:\Projects\HGGT0003 - HGGT IDP Update 2021-22\[20190414_HGGT_IDP_2019_Schedule.xlsx]Utilities'!#REF!)))</xm:f>
            <x14:dxf>
              <fill>
                <patternFill>
                  <bgColor theme="3" tint="0.79998168889431442"/>
                </patternFill>
              </fill>
            </x14:dxf>
          </x14:cfRule>
          <x14:cfRule type="containsText" priority="7" operator="containsText" text="15-20 years" id="{7170CCD8-F409-4E96-A62B-58C111858717}">
            <xm:f>NOT(ISERROR(SEARCH("15-20 years",'K:\Projects\HGGT0003 - HGGT IDP Update 2021-22\[20190414_HGGT_IDP_2019_Schedule.xlsx]Utilities'!#REF!)))</xm:f>
            <x14:dxf>
              <fill>
                <patternFill>
                  <bgColor theme="3" tint="0.39994506668294322"/>
                </patternFill>
              </fill>
            </x14:dxf>
          </x14:cfRule>
          <x14:cfRule type="containsText" priority="8" operator="containsText" text="10-15 years" id="{A17F3D11-D010-4A35-A360-D72E12CB1940}">
            <xm:f>NOT(ISERROR(SEARCH("10-15 years",'K:\Projects\HGGT0003 - HGGT IDP Update 2021-22\[20190414_HGGT_IDP_2019_Schedule.xlsx]Utilities'!#REF!)))</xm:f>
            <x14:dxf>
              <fill>
                <patternFill>
                  <bgColor theme="4" tint="-0.24994659260841701"/>
                </patternFill>
              </fill>
            </x14:dxf>
          </x14:cfRule>
          <x14:cfRule type="containsText" priority="9" operator="containsText" text="5-10 years" id="{D37F611E-8F66-4321-A2F6-5F0D9E404EA7}">
            <xm:f>NOT(ISERROR(SEARCH("5-10 years",'K:\Projects\HGGT0003 - HGGT IDP Update 2021-22\[20190414_HGGT_IDP_2019_Schedule.xlsx]Utilities'!#REF!)))</xm:f>
            <x14:dxf>
              <fill>
                <patternFill>
                  <bgColor theme="4" tint="0.39994506668294322"/>
                </patternFill>
              </fill>
            </x14:dxf>
          </x14:cfRule>
          <x14:cfRule type="containsText" priority="10" operator="containsText" text="0-20 years" id="{7764328A-0161-40A8-9AAF-3C2674118A8F}">
            <xm:f>NOT(ISERROR(SEARCH("0-20 years",'K:\Projects\HGGT0003 - HGGT IDP Update 2021-22\[20190414_HGGT_IDP_2019_Schedule.xlsx]Utilities'!#REF!)))</xm:f>
            <x14:dxf>
              <fill>
                <patternFill>
                  <bgColor theme="4" tint="0.59996337778862885"/>
                </patternFill>
              </fill>
            </x14:dxf>
          </x14:cfRule>
          <x14:cfRule type="containsText" priority="11" operator="containsText" text="0-5 years" id="{7CB81A88-6429-4E7B-BB98-92C10E629A6C}">
            <xm:f>NOT(ISERROR(SEARCH("0-5 years",'K:\Projects\HGGT0003 - HGGT IDP Update 2021-22\[20190414_HGGT_IDP_2019_Schedule.xlsx]Utilities'!#REF!)))</xm:f>
            <x14:dxf>
              <fill>
                <patternFill>
                  <bgColor theme="4" tint="0.79998168889431442"/>
                </patternFill>
              </fill>
            </x14:dxf>
          </x14:cfRule>
          <xm:sqref>G1 N1:AA1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79998168889431442"/>
    <pageSetUpPr autoPageBreaks="0"/>
  </sheetPr>
  <dimension ref="A1:BT74"/>
  <sheetViews>
    <sheetView showGridLines="0" view="pageBreakPreview" zoomScale="60" zoomScaleNormal="60" workbookViewId="0">
      <pane ySplit="4" topLeftCell="A5" activePane="bottomLeft" state="frozen"/>
      <selection activeCell="J3" sqref="J3"/>
      <selection pane="bottomLeft" activeCell="B1" sqref="B1:AF1"/>
    </sheetView>
  </sheetViews>
  <sheetFormatPr defaultColWidth="8.90625" defaultRowHeight="16.5" x14ac:dyDescent="0.35"/>
  <cols>
    <col min="1" max="1" width="3.90625" style="758" customWidth="1"/>
    <col min="2" max="2" width="10.90625" style="761" customWidth="1"/>
    <col min="3" max="3" width="45.90625" style="761" customWidth="1"/>
    <col min="4" max="4" width="20.90625" style="761" customWidth="1"/>
    <col min="5" max="5" width="12.90625" style="793" customWidth="1"/>
    <col min="6" max="14" width="7.90625" style="793" customWidth="1"/>
    <col min="15" max="15" width="20.90625" style="793" customWidth="1"/>
    <col min="16" max="16" width="30.90625" style="761" customWidth="1"/>
    <col min="17" max="18" width="20.90625" style="793" customWidth="1"/>
    <col min="19" max="19" width="30.90625" style="761" customWidth="1"/>
    <col min="20" max="20" width="20.90625" style="761" customWidth="1"/>
    <col min="21" max="21" width="20.90625" style="793" customWidth="1"/>
    <col min="22" max="22" width="30.90625" style="793" customWidth="1"/>
    <col min="23" max="24" width="20.90625" style="793" customWidth="1"/>
    <col min="25" max="25" width="30.90625" style="793" customWidth="1"/>
    <col min="26" max="26" width="20.90625" style="761" customWidth="1"/>
    <col min="27" max="28" width="20.90625" style="793" customWidth="1"/>
    <col min="29" max="29" width="30.90625" style="793" customWidth="1"/>
    <col min="30" max="30" width="20.90625" style="761" customWidth="1"/>
    <col min="31" max="31" width="20.90625" style="793" customWidth="1"/>
    <col min="32" max="32" width="20.90625" style="761" customWidth="1"/>
    <col min="33" max="34" width="3.90625" style="758" customWidth="1"/>
    <col min="35" max="35" width="10.90625" style="761" customWidth="1"/>
    <col min="36" max="36" width="45.90625" style="761" customWidth="1"/>
    <col min="37" max="37" width="20.90625" style="761" customWidth="1"/>
    <col min="38" max="38" width="20.90625" style="1071" customWidth="1"/>
    <col min="39" max="57" width="20.90625" style="761" customWidth="1"/>
    <col min="58" max="58" width="20.90625" style="1071" customWidth="1"/>
    <col min="59" max="60" width="20.90625" style="761" customWidth="1"/>
    <col min="61" max="61" width="3.90625" style="758" customWidth="1"/>
    <col min="62" max="62" width="25.90625" style="761" customWidth="1"/>
    <col min="63" max="64" width="50.90625" style="761" customWidth="1"/>
    <col min="65" max="16384" width="8.90625" style="761"/>
  </cols>
  <sheetData>
    <row r="1" spans="1:72" ht="39.9" customHeight="1" x14ac:dyDescent="0.35">
      <c r="A1" s="757"/>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59"/>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59"/>
      <c r="BJ1" s="760"/>
      <c r="BK1" s="760"/>
      <c r="BL1" s="760"/>
      <c r="BM1" s="760"/>
    </row>
    <row r="2" spans="1:72" s="758" customFormat="1" ht="15" customHeight="1" thickBot="1" x14ac:dyDescent="0.4">
      <c r="B2" s="1072" t="s">
        <v>449</v>
      </c>
      <c r="C2" s="1072" t="s">
        <v>450</v>
      </c>
      <c r="D2" s="1072" t="s">
        <v>451</v>
      </c>
      <c r="E2" s="1072" t="s">
        <v>452</v>
      </c>
      <c r="F2" s="1467" t="s">
        <v>453</v>
      </c>
      <c r="G2" s="1468"/>
      <c r="H2" s="1468"/>
      <c r="I2" s="1468"/>
      <c r="J2" s="1468"/>
      <c r="K2" s="1468"/>
      <c r="L2" s="1468"/>
      <c r="M2" s="1468"/>
      <c r="N2" s="1469"/>
      <c r="O2" s="1072" t="s">
        <v>454</v>
      </c>
      <c r="P2" s="1072" t="s">
        <v>455</v>
      </c>
      <c r="Q2" s="1072" t="s">
        <v>456</v>
      </c>
      <c r="R2" s="1072"/>
      <c r="S2" s="1072" t="s">
        <v>457</v>
      </c>
      <c r="T2" s="1072" t="s">
        <v>458</v>
      </c>
      <c r="U2" s="1072" t="s">
        <v>459</v>
      </c>
      <c r="V2" s="1072" t="s">
        <v>460</v>
      </c>
      <c r="W2" s="1072" t="s">
        <v>461</v>
      </c>
      <c r="X2" s="1072" t="s">
        <v>242</v>
      </c>
      <c r="Y2" s="1072" t="s">
        <v>462</v>
      </c>
      <c r="Z2" s="1072" t="s">
        <v>463</v>
      </c>
      <c r="AA2" s="1072" t="s">
        <v>464</v>
      </c>
      <c r="AB2" s="1072" t="s">
        <v>465</v>
      </c>
      <c r="AC2" s="1072" t="s">
        <v>466</v>
      </c>
      <c r="AD2" s="1072" t="s">
        <v>467</v>
      </c>
      <c r="AE2" s="1072" t="s">
        <v>468</v>
      </c>
      <c r="AF2" s="1072" t="s">
        <v>469</v>
      </c>
      <c r="AG2" s="1140"/>
      <c r="AH2" s="1141"/>
      <c r="AI2" s="1072" t="s">
        <v>449</v>
      </c>
      <c r="AJ2" s="1072" t="s">
        <v>450</v>
      </c>
      <c r="AK2" s="1072" t="s">
        <v>471</v>
      </c>
      <c r="AL2" s="1073" t="s">
        <v>472</v>
      </c>
      <c r="AM2" s="1072" t="s">
        <v>473</v>
      </c>
      <c r="AN2" s="1072" t="s">
        <v>474</v>
      </c>
      <c r="AO2" s="1072" t="s">
        <v>475</v>
      </c>
      <c r="AP2" s="1072" t="s">
        <v>476</v>
      </c>
      <c r="AQ2" s="1072" t="s">
        <v>477</v>
      </c>
      <c r="AR2" s="1072" t="s">
        <v>478</v>
      </c>
      <c r="AS2" s="1072" t="s">
        <v>479</v>
      </c>
      <c r="AT2" s="1072" t="s">
        <v>480</v>
      </c>
      <c r="AU2" s="1072" t="s">
        <v>481</v>
      </c>
      <c r="AV2" s="1072" t="s">
        <v>482</v>
      </c>
      <c r="AW2" s="1072" t="s">
        <v>483</v>
      </c>
      <c r="AX2" s="1072" t="s">
        <v>484</v>
      </c>
      <c r="AY2" s="1072" t="s">
        <v>485</v>
      </c>
      <c r="AZ2" s="1072" t="s">
        <v>486</v>
      </c>
      <c r="BA2" s="1072" t="s">
        <v>487</v>
      </c>
      <c r="BB2" s="1072" t="s">
        <v>488</v>
      </c>
      <c r="BC2" s="1072" t="s">
        <v>489</v>
      </c>
      <c r="BD2" s="1072" t="s">
        <v>490</v>
      </c>
      <c r="BE2" s="1072" t="s">
        <v>491</v>
      </c>
      <c r="BF2" s="1073" t="s">
        <v>492</v>
      </c>
      <c r="BG2" s="1072" t="s">
        <v>493</v>
      </c>
      <c r="BH2" s="1072" t="s">
        <v>494</v>
      </c>
    </row>
    <row r="3" spans="1:72" ht="99.9" customHeight="1" thickTop="1" x14ac:dyDescent="0.35">
      <c r="B3" s="1392" t="s">
        <v>2231</v>
      </c>
      <c r="C3" s="768"/>
      <c r="D3" s="1385" t="s">
        <v>495</v>
      </c>
      <c r="E3" s="1394" t="s">
        <v>496</v>
      </c>
      <c r="F3" s="1396" t="s">
        <v>219</v>
      </c>
      <c r="G3" s="1396"/>
      <c r="H3" s="1396"/>
      <c r="I3" s="1396"/>
      <c r="J3" s="1396"/>
      <c r="K3" s="1396"/>
      <c r="L3" s="1396"/>
      <c r="M3" s="1396"/>
      <c r="N3" s="1396"/>
      <c r="O3" s="1385" t="s">
        <v>214</v>
      </c>
      <c r="P3" s="1400" t="s">
        <v>497</v>
      </c>
      <c r="Q3" s="1385" t="s">
        <v>498</v>
      </c>
      <c r="R3" s="1446" t="s">
        <v>2233</v>
      </c>
      <c r="S3" s="1391" t="s">
        <v>499</v>
      </c>
      <c r="T3" s="1492" t="s">
        <v>501</v>
      </c>
      <c r="U3" s="1390" t="s">
        <v>2</v>
      </c>
      <c r="V3" s="1388" t="s">
        <v>500</v>
      </c>
      <c r="W3" s="1384" t="s">
        <v>856</v>
      </c>
      <c r="X3" s="1387" t="s">
        <v>503</v>
      </c>
      <c r="Y3" s="1385" t="s">
        <v>504</v>
      </c>
      <c r="Z3" s="1492" t="s">
        <v>1289</v>
      </c>
      <c r="AA3" s="1494" t="s">
        <v>506</v>
      </c>
      <c r="AB3" s="1387" t="s">
        <v>1011</v>
      </c>
      <c r="AC3" s="1385" t="s">
        <v>504</v>
      </c>
      <c r="AD3" s="1492" t="s">
        <v>1289</v>
      </c>
      <c r="AE3" s="1494" t="s">
        <v>508</v>
      </c>
      <c r="AF3" s="1490" t="s">
        <v>509</v>
      </c>
      <c r="AI3" s="1389" t="s">
        <v>2231</v>
      </c>
      <c r="AJ3" s="771"/>
      <c r="AK3" s="772" t="s">
        <v>2234</v>
      </c>
      <c r="AL3" s="773" t="s">
        <v>2235</v>
      </c>
      <c r="AM3" s="773" t="s">
        <v>2236</v>
      </c>
      <c r="AN3" s="773" t="s">
        <v>2237</v>
      </c>
      <c r="AO3" s="773" t="s">
        <v>2238</v>
      </c>
      <c r="AP3" s="773" t="s">
        <v>2239</v>
      </c>
      <c r="AQ3" s="774" t="s">
        <v>2240</v>
      </c>
      <c r="AR3" s="775" t="s">
        <v>2241</v>
      </c>
      <c r="AS3" s="773" t="s">
        <v>2242</v>
      </c>
      <c r="AT3" s="773" t="s">
        <v>2243</v>
      </c>
      <c r="AU3" s="773" t="s">
        <v>2244</v>
      </c>
      <c r="AV3" s="773" t="s">
        <v>2245</v>
      </c>
      <c r="AW3" s="773" t="s">
        <v>2246</v>
      </c>
      <c r="AX3" s="773" t="s">
        <v>2247</v>
      </c>
      <c r="AY3" s="773" t="s">
        <v>2248</v>
      </c>
      <c r="AZ3" s="773" t="s">
        <v>2249</v>
      </c>
      <c r="BA3" s="773" t="s">
        <v>2250</v>
      </c>
      <c r="BB3" s="773" t="s">
        <v>2251</v>
      </c>
      <c r="BC3" s="773" t="s">
        <v>2252</v>
      </c>
      <c r="BD3" s="773" t="s">
        <v>2253</v>
      </c>
      <c r="BE3" s="1142" t="s">
        <v>2254</v>
      </c>
      <c r="BF3" s="775" t="s">
        <v>2255</v>
      </c>
      <c r="BG3" s="1398" t="s">
        <v>41</v>
      </c>
      <c r="BH3" s="1382" t="s">
        <v>42</v>
      </c>
      <c r="BI3" s="880"/>
      <c r="BJ3" s="777"/>
      <c r="BK3" s="778"/>
      <c r="BL3" s="778"/>
    </row>
    <row r="4" spans="1:72" s="793" customFormat="1" ht="120.65" customHeight="1" x14ac:dyDescent="0.35">
      <c r="A4" s="880"/>
      <c r="B4" s="1393"/>
      <c r="C4" s="780" t="s">
        <v>1290</v>
      </c>
      <c r="D4" s="1286"/>
      <c r="E4" s="1395"/>
      <c r="F4" s="333" t="s">
        <v>512</v>
      </c>
      <c r="G4" s="333" t="s">
        <v>513</v>
      </c>
      <c r="H4" s="333" t="s">
        <v>514</v>
      </c>
      <c r="I4" s="333" t="s">
        <v>515</v>
      </c>
      <c r="J4" s="333" t="s">
        <v>516</v>
      </c>
      <c r="K4" s="333" t="s">
        <v>517</v>
      </c>
      <c r="L4" s="333" t="s">
        <v>518</v>
      </c>
      <c r="M4" s="333" t="s">
        <v>519</v>
      </c>
      <c r="N4" s="333" t="s">
        <v>520</v>
      </c>
      <c r="O4" s="1397"/>
      <c r="P4" s="1401"/>
      <c r="Q4" s="1286"/>
      <c r="R4" s="1447"/>
      <c r="S4" s="1241"/>
      <c r="T4" s="1493"/>
      <c r="U4" s="1320"/>
      <c r="V4" s="1288"/>
      <c r="W4" s="1290"/>
      <c r="X4" s="1284"/>
      <c r="Y4" s="1286"/>
      <c r="Z4" s="1493"/>
      <c r="AA4" s="1249"/>
      <c r="AB4" s="1284"/>
      <c r="AC4" s="1286"/>
      <c r="AD4" s="1493"/>
      <c r="AE4" s="1249"/>
      <c r="AF4" s="1483"/>
      <c r="AG4" s="880"/>
      <c r="AH4" s="880"/>
      <c r="AI4" s="1299"/>
      <c r="AJ4" s="783" t="s">
        <v>1290</v>
      </c>
      <c r="AK4" s="784">
        <v>8500</v>
      </c>
      <c r="AL4" s="785">
        <v>1500</v>
      </c>
      <c r="AM4" s="785">
        <v>2600</v>
      </c>
      <c r="AN4" s="786">
        <v>750</v>
      </c>
      <c r="AO4" s="786" t="s">
        <v>48</v>
      </c>
      <c r="AP4" s="785">
        <v>2100</v>
      </c>
      <c r="AQ4" s="787">
        <v>1050</v>
      </c>
      <c r="AR4" s="788">
        <v>550</v>
      </c>
      <c r="AS4" s="786">
        <v>70</v>
      </c>
      <c r="AT4" s="786">
        <v>30</v>
      </c>
      <c r="AU4" s="786">
        <v>35</v>
      </c>
      <c r="AV4" s="786">
        <v>35</v>
      </c>
      <c r="AW4" s="786">
        <v>20</v>
      </c>
      <c r="AX4" s="786">
        <v>16</v>
      </c>
      <c r="AY4" s="786">
        <v>15</v>
      </c>
      <c r="AZ4" s="786">
        <v>13</v>
      </c>
      <c r="BA4" s="786">
        <v>10</v>
      </c>
      <c r="BB4" s="786">
        <v>10</v>
      </c>
      <c r="BC4" s="786">
        <v>10</v>
      </c>
      <c r="BD4" s="786">
        <v>10</v>
      </c>
      <c r="BE4" s="1143">
        <v>10</v>
      </c>
      <c r="BF4" s="790">
        <v>2120</v>
      </c>
      <c r="BG4" s="1399"/>
      <c r="BH4" s="1383"/>
      <c r="BI4" s="880"/>
      <c r="BJ4" s="791"/>
      <c r="BK4" s="792"/>
      <c r="BL4" s="792"/>
    </row>
    <row r="5" spans="1:72" ht="17.25" customHeight="1" x14ac:dyDescent="0.35">
      <c r="B5" s="795"/>
      <c r="C5" s="302"/>
      <c r="D5" s="302"/>
      <c r="E5" s="303"/>
      <c r="F5" s="303"/>
      <c r="G5" s="303"/>
      <c r="H5" s="303"/>
      <c r="I5" s="303"/>
      <c r="J5" s="303"/>
      <c r="K5" s="303"/>
      <c r="L5" s="303"/>
      <c r="M5" s="303"/>
      <c r="N5" s="307"/>
      <c r="O5" s="303"/>
      <c r="P5" s="302"/>
      <c r="Q5" s="305"/>
      <c r="R5" s="305"/>
      <c r="S5" s="306"/>
      <c r="T5" s="335"/>
      <c r="U5" s="305"/>
      <c r="V5" s="506"/>
      <c r="W5" s="584"/>
      <c r="X5" s="305"/>
      <c r="Y5" s="307"/>
      <c r="Z5" s="335"/>
      <c r="AA5" s="305"/>
      <c r="AB5" s="305"/>
      <c r="AC5" s="307"/>
      <c r="AD5" s="335"/>
      <c r="AE5" s="305"/>
      <c r="AF5" s="1075"/>
      <c r="AI5" s="800"/>
      <c r="AJ5" s="570"/>
      <c r="AK5" s="802"/>
      <c r="AL5" s="803"/>
      <c r="AM5" s="804"/>
      <c r="AN5" s="803"/>
      <c r="AO5" s="803"/>
      <c r="AP5" s="803"/>
      <c r="AQ5" s="804"/>
      <c r="AR5" s="805"/>
      <c r="AS5" s="803"/>
      <c r="AT5" s="803"/>
      <c r="AU5" s="803"/>
      <c r="AV5" s="803"/>
      <c r="AW5" s="803"/>
      <c r="AX5" s="803"/>
      <c r="AY5" s="803"/>
      <c r="AZ5" s="803"/>
      <c r="BA5" s="803"/>
      <c r="BB5" s="803"/>
      <c r="BC5" s="803"/>
      <c r="BD5" s="803"/>
      <c r="BE5" s="1144"/>
      <c r="BF5" s="805"/>
      <c r="BG5" s="302"/>
      <c r="BH5" s="570"/>
      <c r="BJ5" s="823"/>
      <c r="BK5" s="807"/>
      <c r="BL5" s="807"/>
      <c r="BS5" s="761" t="s">
        <v>1291</v>
      </c>
      <c r="BT5" s="761">
        <v>0</v>
      </c>
    </row>
    <row r="6" spans="1:72" ht="125.15" customHeight="1" x14ac:dyDescent="0.35">
      <c r="A6" s="1459">
        <v>1</v>
      </c>
      <c r="B6" s="1358" t="s">
        <v>1274</v>
      </c>
      <c r="C6" s="1281" t="s">
        <v>1292</v>
      </c>
      <c r="D6" s="1281" t="s">
        <v>1293</v>
      </c>
      <c r="E6" s="1470"/>
      <c r="F6" s="1081"/>
      <c r="G6" s="826"/>
      <c r="H6" s="826"/>
      <c r="I6" s="826"/>
      <c r="J6" s="827"/>
      <c r="K6" s="826"/>
      <c r="L6" s="826"/>
      <c r="M6" s="826"/>
      <c r="N6" s="828"/>
      <c r="O6" s="1281" t="s">
        <v>1294</v>
      </c>
      <c r="P6" s="1281" t="s">
        <v>1295</v>
      </c>
      <c r="Q6" s="330" t="s">
        <v>1296</v>
      </c>
      <c r="R6" s="330" t="s">
        <v>2186</v>
      </c>
      <c r="S6" s="1268" t="s">
        <v>1297</v>
      </c>
      <c r="T6" s="1306" t="s">
        <v>1298</v>
      </c>
      <c r="U6" s="329" t="s">
        <v>371</v>
      </c>
      <c r="V6" s="1279" t="s">
        <v>1299</v>
      </c>
      <c r="W6" s="636"/>
      <c r="X6" s="563" t="s">
        <v>1300</v>
      </c>
      <c r="Y6" s="1268" t="s">
        <v>1301</v>
      </c>
      <c r="Z6" s="1306" t="s">
        <v>1302</v>
      </c>
      <c r="AA6" s="457"/>
      <c r="AB6" s="727" t="s">
        <v>1303</v>
      </c>
      <c r="AC6" s="1279" t="s">
        <v>1304</v>
      </c>
      <c r="AD6" s="1306"/>
      <c r="AE6" s="457"/>
      <c r="AF6" s="1472" t="s">
        <v>1305</v>
      </c>
      <c r="AG6" s="1309">
        <v>1</v>
      </c>
      <c r="AH6" s="1275">
        <v>1</v>
      </c>
      <c r="AI6" s="1271" t="s">
        <v>1274</v>
      </c>
      <c r="AJ6" s="1293" t="s">
        <v>1292</v>
      </c>
      <c r="AK6" s="600" t="s">
        <v>1306</v>
      </c>
      <c r="AL6" s="600" t="s">
        <v>1306</v>
      </c>
      <c r="AM6" s="1099"/>
      <c r="AN6" s="1099"/>
      <c r="AO6" s="493"/>
      <c r="AP6" s="1099"/>
      <c r="AQ6" s="1099"/>
      <c r="AR6" s="597"/>
      <c r="AS6" s="493"/>
      <c r="AT6" s="493"/>
      <c r="AU6" s="493"/>
      <c r="AV6" s="493"/>
      <c r="AW6" s="493"/>
      <c r="AX6" s="493"/>
      <c r="AY6" s="493"/>
      <c r="AZ6" s="493"/>
      <c r="BA6" s="493"/>
      <c r="BB6" s="493"/>
      <c r="BC6" s="493"/>
      <c r="BD6" s="493"/>
      <c r="BE6" s="1145"/>
      <c r="BF6" s="885"/>
      <c r="BG6" s="752"/>
      <c r="BH6" s="733" t="s">
        <v>1307</v>
      </c>
      <c r="BI6" s="1432">
        <v>1</v>
      </c>
      <c r="BJ6" s="823"/>
      <c r="BK6" s="1316"/>
      <c r="BL6" s="1323"/>
    </row>
    <row r="7" spans="1:72" ht="125.15" customHeight="1" x14ac:dyDescent="0.35">
      <c r="A7" s="1460"/>
      <c r="B7" s="1359"/>
      <c r="C7" s="1282"/>
      <c r="D7" s="1282"/>
      <c r="E7" s="1471"/>
      <c r="F7" s="1313" t="s">
        <v>1308</v>
      </c>
      <c r="G7" s="1314"/>
      <c r="H7" s="1314"/>
      <c r="I7" s="1314"/>
      <c r="J7" s="1314"/>
      <c r="K7" s="1314"/>
      <c r="L7" s="1314"/>
      <c r="M7" s="1314"/>
      <c r="N7" s="1315"/>
      <c r="O7" s="1282"/>
      <c r="P7" s="1282"/>
      <c r="Q7" s="456">
        <v>6000000</v>
      </c>
      <c r="R7" s="456"/>
      <c r="S7" s="1270"/>
      <c r="T7" s="1307"/>
      <c r="U7" s="334"/>
      <c r="V7" s="1308"/>
      <c r="W7" s="637">
        <f>Q7</f>
        <v>6000000</v>
      </c>
      <c r="X7" s="564">
        <f>SUM(AK7:AL7)</f>
        <v>1745404</v>
      </c>
      <c r="Y7" s="1270"/>
      <c r="Z7" s="1307"/>
      <c r="AA7" s="459">
        <f>W7-X7</f>
        <v>4254596</v>
      </c>
      <c r="AB7" s="906"/>
      <c r="AC7" s="1308"/>
      <c r="AD7" s="1307"/>
      <c r="AE7" s="459">
        <f>AA7</f>
        <v>4254596</v>
      </c>
      <c r="AF7" s="1473"/>
      <c r="AG7" s="1310"/>
      <c r="AH7" s="1276"/>
      <c r="AI7" s="1272"/>
      <c r="AJ7" s="1295"/>
      <c r="AK7" s="696">
        <v>1483593</v>
      </c>
      <c r="AL7" s="564">
        <v>261811</v>
      </c>
      <c r="AM7" s="488"/>
      <c r="AN7" s="488"/>
      <c r="AO7" s="477"/>
      <c r="AP7" s="488"/>
      <c r="AQ7" s="488"/>
      <c r="AR7" s="628"/>
      <c r="AS7" s="477"/>
      <c r="AT7" s="477"/>
      <c r="AU7" s="477"/>
      <c r="AV7" s="477"/>
      <c r="AW7" s="477"/>
      <c r="AX7" s="477"/>
      <c r="AY7" s="477"/>
      <c r="AZ7" s="477"/>
      <c r="BA7" s="477"/>
      <c r="BB7" s="477"/>
      <c r="BC7" s="477"/>
      <c r="BD7" s="477"/>
      <c r="BE7" s="1146"/>
      <c r="BF7" s="902"/>
      <c r="BG7" s="753"/>
      <c r="BH7" s="972"/>
      <c r="BI7" s="1433"/>
      <c r="BJ7" s="823"/>
      <c r="BK7" s="1317"/>
      <c r="BL7" s="1324"/>
    </row>
    <row r="8" spans="1:72" ht="125.15" customHeight="1" x14ac:dyDescent="0.35">
      <c r="A8" s="1459">
        <v>2</v>
      </c>
      <c r="B8" s="1358" t="s">
        <v>1309</v>
      </c>
      <c r="C8" s="1281" t="s">
        <v>1310</v>
      </c>
      <c r="D8" s="720" t="s">
        <v>1204</v>
      </c>
      <c r="E8" s="1470"/>
      <c r="F8" s="851"/>
      <c r="G8" s="1082"/>
      <c r="H8" s="1082"/>
      <c r="I8" s="1082"/>
      <c r="J8" s="1082"/>
      <c r="K8" s="1082"/>
      <c r="L8" s="852"/>
      <c r="M8" s="826"/>
      <c r="N8" s="828"/>
      <c r="O8" s="1281" t="s">
        <v>1311</v>
      </c>
      <c r="P8" s="1281" t="s">
        <v>1312</v>
      </c>
      <c r="Q8" s="324" t="s">
        <v>1313</v>
      </c>
      <c r="R8" s="324"/>
      <c r="S8" s="1268" t="s">
        <v>1314</v>
      </c>
      <c r="T8" s="1306" t="s">
        <v>1315</v>
      </c>
      <c r="U8" s="329" t="s">
        <v>371</v>
      </c>
      <c r="V8" s="1279" t="s">
        <v>1316</v>
      </c>
      <c r="W8" s="636"/>
      <c r="X8" s="569" t="s">
        <v>1317</v>
      </c>
      <c r="Y8" s="1279" t="s">
        <v>1318</v>
      </c>
      <c r="Z8" s="1306" t="s">
        <v>1319</v>
      </c>
      <c r="AA8" s="457"/>
      <c r="AB8" s="727" t="s">
        <v>1320</v>
      </c>
      <c r="AC8" s="1281" t="s">
        <v>1321</v>
      </c>
      <c r="AD8" s="1306"/>
      <c r="AE8" s="457"/>
      <c r="AF8" s="1472" t="s">
        <v>1316</v>
      </c>
      <c r="AG8" s="1309">
        <v>2</v>
      </c>
      <c r="AH8" s="1275">
        <v>2</v>
      </c>
      <c r="AI8" s="1271" t="s">
        <v>1309</v>
      </c>
      <c r="AJ8" s="1293" t="s">
        <v>1322</v>
      </c>
      <c r="AK8" s="600" t="s">
        <v>1323</v>
      </c>
      <c r="AL8" s="569" t="s">
        <v>1323</v>
      </c>
      <c r="AM8" s="569" t="s">
        <v>1323</v>
      </c>
      <c r="AN8" s="569" t="s">
        <v>1313</v>
      </c>
      <c r="AO8" s="329"/>
      <c r="AP8" s="643" t="s">
        <v>1323</v>
      </c>
      <c r="AQ8" s="643" t="s">
        <v>1323</v>
      </c>
      <c r="AR8" s="589" t="s">
        <v>1323</v>
      </c>
      <c r="AS8" s="493"/>
      <c r="AT8" s="493"/>
      <c r="AU8" s="493"/>
      <c r="AV8" s="493"/>
      <c r="AW8" s="493"/>
      <c r="AX8" s="493"/>
      <c r="AY8" s="493"/>
      <c r="AZ8" s="493"/>
      <c r="BA8" s="493"/>
      <c r="BB8" s="493"/>
      <c r="BC8" s="493"/>
      <c r="BD8" s="493"/>
      <c r="BE8" s="1145"/>
      <c r="BF8" s="834" t="s">
        <v>1323</v>
      </c>
      <c r="BG8" s="727" t="s">
        <v>1323</v>
      </c>
      <c r="BH8" s="733" t="s">
        <v>1323</v>
      </c>
      <c r="BI8" s="1432">
        <v>2</v>
      </c>
      <c r="BJ8" s="823"/>
      <c r="BK8" s="1316"/>
      <c r="BL8" s="1323"/>
    </row>
    <row r="9" spans="1:72" ht="125.15" customHeight="1" x14ac:dyDescent="0.35">
      <c r="A9" s="1460"/>
      <c r="B9" s="1359"/>
      <c r="C9" s="1282"/>
      <c r="D9" s="721"/>
      <c r="E9" s="1471"/>
      <c r="F9" s="1313" t="s">
        <v>1324</v>
      </c>
      <c r="G9" s="1314"/>
      <c r="H9" s="1314"/>
      <c r="I9" s="1314"/>
      <c r="J9" s="1314"/>
      <c r="K9" s="1314"/>
      <c r="L9" s="1314"/>
      <c r="M9" s="1314"/>
      <c r="N9" s="1315"/>
      <c r="O9" s="1282"/>
      <c r="P9" s="1282"/>
      <c r="Q9" s="456">
        <v>7900000</v>
      </c>
      <c r="R9" s="456">
        <v>8579083</v>
      </c>
      <c r="S9" s="1270"/>
      <c r="T9" s="1307"/>
      <c r="U9" s="328"/>
      <c r="V9" s="1308"/>
      <c r="W9" s="637">
        <f>Q9</f>
        <v>7900000</v>
      </c>
      <c r="X9" s="564"/>
      <c r="Y9" s="1308"/>
      <c r="Z9" s="1307"/>
      <c r="AA9" s="459">
        <f>W9-X9</f>
        <v>7900000</v>
      </c>
      <c r="AB9" s="906"/>
      <c r="AC9" s="1282"/>
      <c r="AD9" s="1307"/>
      <c r="AE9" s="459">
        <f>AA9</f>
        <v>7900000</v>
      </c>
      <c r="AF9" s="1473"/>
      <c r="AG9" s="1310"/>
      <c r="AH9" s="1276"/>
      <c r="AI9" s="1272"/>
      <c r="AJ9" s="1295"/>
      <c r="AK9" s="713"/>
      <c r="AL9" s="711"/>
      <c r="AM9" s="711"/>
      <c r="AN9" s="711"/>
      <c r="AO9" s="477"/>
      <c r="AP9" s="711"/>
      <c r="AQ9" s="711"/>
      <c r="AR9" s="587"/>
      <c r="AS9" s="477"/>
      <c r="AT9" s="477"/>
      <c r="AU9" s="477"/>
      <c r="AV9" s="477"/>
      <c r="AW9" s="477"/>
      <c r="AX9" s="477"/>
      <c r="AY9" s="477"/>
      <c r="AZ9" s="477"/>
      <c r="BA9" s="477"/>
      <c r="BB9" s="477"/>
      <c r="BC9" s="477"/>
      <c r="BD9" s="477"/>
      <c r="BE9" s="1146"/>
      <c r="BF9" s="908"/>
      <c r="BG9" s="906"/>
      <c r="BH9" s="972"/>
      <c r="BI9" s="1433"/>
      <c r="BJ9" s="823"/>
      <c r="BK9" s="1317"/>
      <c r="BL9" s="1324"/>
    </row>
    <row r="10" spans="1:72" ht="125.15" customHeight="1" x14ac:dyDescent="0.35">
      <c r="A10" s="1459">
        <v>3</v>
      </c>
      <c r="B10" s="1358" t="s">
        <v>1325</v>
      </c>
      <c r="C10" s="1281" t="s">
        <v>1326</v>
      </c>
      <c r="D10" s="1281" t="s">
        <v>1204</v>
      </c>
      <c r="E10" s="1470"/>
      <c r="F10" s="856"/>
      <c r="G10" s="857"/>
      <c r="H10" s="857"/>
      <c r="I10" s="857"/>
      <c r="J10" s="857"/>
      <c r="K10" s="857"/>
      <c r="L10" s="857"/>
      <c r="M10" s="857"/>
      <c r="N10" s="858"/>
      <c r="O10" s="1281" t="s">
        <v>1327</v>
      </c>
      <c r="P10" s="1281" t="s">
        <v>1328</v>
      </c>
      <c r="Q10" s="324" t="s">
        <v>1329</v>
      </c>
      <c r="R10" s="324"/>
      <c r="S10" s="1268" t="s">
        <v>1330</v>
      </c>
      <c r="T10" s="1306" t="s">
        <v>1315</v>
      </c>
      <c r="U10" s="329"/>
      <c r="V10" s="1279" t="s">
        <v>1316</v>
      </c>
      <c r="W10" s="638" t="s">
        <v>1331</v>
      </c>
      <c r="X10" s="569" t="s">
        <v>1332</v>
      </c>
      <c r="Y10" s="1279" t="s">
        <v>1333</v>
      </c>
      <c r="Z10" s="1306"/>
      <c r="AA10" s="723" t="s">
        <v>1331</v>
      </c>
      <c r="AB10" s="600" t="s">
        <v>1332</v>
      </c>
      <c r="AC10" s="1281" t="s">
        <v>1334</v>
      </c>
      <c r="AD10" s="1306"/>
      <c r="AE10" s="723" t="s">
        <v>1331</v>
      </c>
      <c r="AF10" s="1472" t="s">
        <v>1316</v>
      </c>
      <c r="AG10" s="1309">
        <v>3</v>
      </c>
      <c r="AH10" s="1275">
        <v>3</v>
      </c>
      <c r="AI10" s="1271" t="s">
        <v>1325</v>
      </c>
      <c r="AJ10" s="1293" t="s">
        <v>1326</v>
      </c>
      <c r="AK10" s="600" t="s">
        <v>1332</v>
      </c>
      <c r="AL10" s="600" t="s">
        <v>1332</v>
      </c>
      <c r="AM10" s="600" t="s">
        <v>1332</v>
      </c>
      <c r="AN10" s="600" t="s">
        <v>1332</v>
      </c>
      <c r="AO10" s="329"/>
      <c r="AP10" s="600" t="s">
        <v>1332</v>
      </c>
      <c r="AQ10" s="695" t="s">
        <v>1332</v>
      </c>
      <c r="AR10" s="589" t="s">
        <v>1332</v>
      </c>
      <c r="AS10" s="886"/>
      <c r="AT10" s="886"/>
      <c r="AU10" s="886"/>
      <c r="AV10" s="886"/>
      <c r="AW10" s="886"/>
      <c r="AX10" s="886"/>
      <c r="AY10" s="886"/>
      <c r="AZ10" s="886"/>
      <c r="BA10" s="886"/>
      <c r="BB10" s="886"/>
      <c r="BC10" s="886"/>
      <c r="BD10" s="886"/>
      <c r="BE10" s="1088"/>
      <c r="BF10" s="589" t="s">
        <v>1332</v>
      </c>
      <c r="BG10" s="1091"/>
      <c r="BH10" s="1147"/>
      <c r="BI10" s="1432">
        <v>3</v>
      </c>
      <c r="BJ10" s="823"/>
      <c r="BK10" s="1316"/>
      <c r="BL10" s="1323"/>
    </row>
    <row r="11" spans="1:72" ht="125.15" customHeight="1" thickBot="1" x14ac:dyDescent="0.4">
      <c r="A11" s="1460"/>
      <c r="B11" s="1359"/>
      <c r="C11" s="1282"/>
      <c r="D11" s="1282"/>
      <c r="E11" s="1471"/>
      <c r="F11" s="1313" t="s">
        <v>1335</v>
      </c>
      <c r="G11" s="1314"/>
      <c r="H11" s="1314"/>
      <c r="I11" s="1314"/>
      <c r="J11" s="1314"/>
      <c r="K11" s="1314"/>
      <c r="L11" s="1314"/>
      <c r="M11" s="1314"/>
      <c r="N11" s="1315"/>
      <c r="O11" s="1282"/>
      <c r="P11" s="1282"/>
      <c r="Q11" s="456"/>
      <c r="R11" s="456"/>
      <c r="S11" s="1270"/>
      <c r="T11" s="1307"/>
      <c r="U11" s="328"/>
      <c r="V11" s="1308"/>
      <c r="W11" s="637"/>
      <c r="X11" s="698"/>
      <c r="Y11" s="1308"/>
      <c r="Z11" s="1509"/>
      <c r="AA11" s="459"/>
      <c r="AB11" s="921"/>
      <c r="AC11" s="1282"/>
      <c r="AD11" s="1307"/>
      <c r="AE11" s="459"/>
      <c r="AF11" s="1473"/>
      <c r="AG11" s="1310"/>
      <c r="AH11" s="1276"/>
      <c r="AI11" s="1272"/>
      <c r="AJ11" s="1295"/>
      <c r="AK11" s="713"/>
      <c r="AL11" s="711"/>
      <c r="AM11" s="711"/>
      <c r="AN11" s="711"/>
      <c r="AO11" s="477"/>
      <c r="AP11" s="711"/>
      <c r="AQ11" s="711"/>
      <c r="AR11" s="587"/>
      <c r="AS11" s="899"/>
      <c r="AT11" s="899"/>
      <c r="AU11" s="899"/>
      <c r="AV11" s="899"/>
      <c r="AW11" s="899"/>
      <c r="AX11" s="899"/>
      <c r="AY11" s="899"/>
      <c r="AZ11" s="899"/>
      <c r="BA11" s="899"/>
      <c r="BB11" s="899"/>
      <c r="BC11" s="899"/>
      <c r="BD11" s="899"/>
      <c r="BE11" s="1148"/>
      <c r="BF11" s="908"/>
      <c r="BG11" s="753"/>
      <c r="BH11" s="817"/>
      <c r="BI11" s="1433"/>
      <c r="BJ11" s="823"/>
      <c r="BK11" s="1317"/>
      <c r="BL11" s="1324"/>
    </row>
    <row r="12" spans="1:72" ht="99.9" customHeight="1" thickTop="1" x14ac:dyDescent="0.35">
      <c r="A12" s="1076"/>
      <c r="B12" s="1368"/>
      <c r="C12" s="1370" t="s">
        <v>1290</v>
      </c>
      <c r="D12" s="1347"/>
      <c r="E12" s="1347"/>
      <c r="F12" s="1347"/>
      <c r="G12" s="1347"/>
      <c r="H12" s="1347"/>
      <c r="I12" s="1347"/>
      <c r="J12" s="1347"/>
      <c r="K12" s="1347"/>
      <c r="L12" s="1347"/>
      <c r="M12" s="1347"/>
      <c r="N12" s="1347"/>
      <c r="O12" s="1347"/>
      <c r="P12" s="1347"/>
      <c r="Q12" s="1349" t="s">
        <v>1</v>
      </c>
      <c r="R12" s="1446" t="s">
        <v>2195</v>
      </c>
      <c r="S12" s="1337"/>
      <c r="T12" s="1510"/>
      <c r="U12" s="1351" t="s">
        <v>2</v>
      </c>
      <c r="V12" s="1337"/>
      <c r="W12" s="1353" t="s">
        <v>856</v>
      </c>
      <c r="X12" s="1291" t="s">
        <v>1267</v>
      </c>
      <c r="Y12" s="1335"/>
      <c r="Z12" s="1510"/>
      <c r="AA12" s="1504" t="s">
        <v>506</v>
      </c>
      <c r="AB12" s="1517" t="s">
        <v>1268</v>
      </c>
      <c r="AC12" s="1519"/>
      <c r="AD12" s="1510"/>
      <c r="AE12" s="1514" t="s">
        <v>508</v>
      </c>
      <c r="AF12" s="1516"/>
      <c r="AG12" s="813"/>
      <c r="AH12" s="814"/>
      <c r="AI12" s="1332"/>
      <c r="AJ12" s="1304" t="s">
        <v>1290</v>
      </c>
      <c r="AK12" s="979" t="s">
        <v>2234</v>
      </c>
      <c r="AL12" s="977" t="s">
        <v>2235</v>
      </c>
      <c r="AM12" s="977" t="s">
        <v>2236</v>
      </c>
      <c r="AN12" s="977" t="s">
        <v>2237</v>
      </c>
      <c r="AO12" s="977" t="s">
        <v>2238</v>
      </c>
      <c r="AP12" s="977" t="s">
        <v>2239</v>
      </c>
      <c r="AQ12" s="1108" t="s">
        <v>2240</v>
      </c>
      <c r="AR12" s="979" t="s">
        <v>2241</v>
      </c>
      <c r="AS12" s="977" t="s">
        <v>2242</v>
      </c>
      <c r="AT12" s="977" t="s">
        <v>2243</v>
      </c>
      <c r="AU12" s="977" t="s">
        <v>2244</v>
      </c>
      <c r="AV12" s="977" t="s">
        <v>2245</v>
      </c>
      <c r="AW12" s="977" t="s">
        <v>2246</v>
      </c>
      <c r="AX12" s="977" t="s">
        <v>2247</v>
      </c>
      <c r="AY12" s="977" t="s">
        <v>2248</v>
      </c>
      <c r="AZ12" s="977" t="s">
        <v>2249</v>
      </c>
      <c r="BA12" s="977" t="s">
        <v>2250</v>
      </c>
      <c r="BB12" s="977" t="s">
        <v>2251</v>
      </c>
      <c r="BC12" s="977" t="s">
        <v>2252</v>
      </c>
      <c r="BD12" s="977" t="s">
        <v>2253</v>
      </c>
      <c r="BE12" s="1108" t="s">
        <v>2254</v>
      </c>
      <c r="BF12" s="979" t="s">
        <v>2255</v>
      </c>
      <c r="BG12" s="1343" t="s">
        <v>41</v>
      </c>
      <c r="BH12" s="1345" t="s">
        <v>42</v>
      </c>
      <c r="BI12" s="1137"/>
      <c r="BJ12" s="823"/>
      <c r="BK12" s="1316"/>
      <c r="BL12" s="1316"/>
    </row>
    <row r="13" spans="1:72" s="793" customFormat="1" ht="50.15" customHeight="1" x14ac:dyDescent="0.35">
      <c r="A13" s="1105"/>
      <c r="B13" s="1369"/>
      <c r="C13" s="1371"/>
      <c r="D13" s="1348"/>
      <c r="E13" s="1348"/>
      <c r="F13" s="454"/>
      <c r="G13" s="454"/>
      <c r="H13" s="454"/>
      <c r="I13" s="454"/>
      <c r="J13" s="454"/>
      <c r="K13" s="454"/>
      <c r="L13" s="454"/>
      <c r="M13" s="454"/>
      <c r="N13" s="454"/>
      <c r="O13" s="1348"/>
      <c r="P13" s="1348"/>
      <c r="Q13" s="1350"/>
      <c r="R13" s="1447"/>
      <c r="S13" s="1338"/>
      <c r="T13" s="1511"/>
      <c r="U13" s="1352"/>
      <c r="V13" s="1338"/>
      <c r="W13" s="1354"/>
      <c r="X13" s="1292"/>
      <c r="Y13" s="1336"/>
      <c r="Z13" s="1511"/>
      <c r="AA13" s="1505"/>
      <c r="AB13" s="1518"/>
      <c r="AC13" s="1498"/>
      <c r="AD13" s="1511"/>
      <c r="AE13" s="1515"/>
      <c r="AF13" s="1483"/>
      <c r="AG13" s="781"/>
      <c r="AH13" s="782"/>
      <c r="AI13" s="1333"/>
      <c r="AJ13" s="1305"/>
      <c r="AK13" s="987">
        <v>8500</v>
      </c>
      <c r="AL13" s="982">
        <v>1500</v>
      </c>
      <c r="AM13" s="982">
        <v>2600</v>
      </c>
      <c r="AN13" s="983">
        <v>750</v>
      </c>
      <c r="AO13" s="983" t="s">
        <v>48</v>
      </c>
      <c r="AP13" s="982">
        <v>2100</v>
      </c>
      <c r="AQ13" s="1109">
        <v>1050</v>
      </c>
      <c r="AR13" s="985">
        <v>550</v>
      </c>
      <c r="AS13" s="983">
        <v>70</v>
      </c>
      <c r="AT13" s="983">
        <v>30</v>
      </c>
      <c r="AU13" s="983">
        <v>35</v>
      </c>
      <c r="AV13" s="983">
        <v>35</v>
      </c>
      <c r="AW13" s="983">
        <v>20</v>
      </c>
      <c r="AX13" s="983">
        <v>16</v>
      </c>
      <c r="AY13" s="983">
        <v>15</v>
      </c>
      <c r="AZ13" s="983">
        <v>13</v>
      </c>
      <c r="BA13" s="983">
        <v>10</v>
      </c>
      <c r="BB13" s="983">
        <v>10</v>
      </c>
      <c r="BC13" s="983">
        <v>10</v>
      </c>
      <c r="BD13" s="983">
        <v>10</v>
      </c>
      <c r="BE13" s="1110">
        <v>10</v>
      </c>
      <c r="BF13" s="987">
        <v>2120</v>
      </c>
      <c r="BG13" s="1344"/>
      <c r="BH13" s="1346"/>
      <c r="BI13" s="880"/>
      <c r="BJ13" s="823"/>
      <c r="BK13" s="1317"/>
      <c r="BL13" s="1317"/>
    </row>
    <row r="14" spans="1:72" ht="17.25" customHeight="1" thickBot="1" x14ac:dyDescent="0.4">
      <c r="A14" s="1077"/>
      <c r="B14" s="988"/>
      <c r="C14" s="573"/>
      <c r="D14" s="573"/>
      <c r="E14" s="989" t="s">
        <v>857</v>
      </c>
      <c r="F14" s="574"/>
      <c r="G14" s="574"/>
      <c r="H14" s="574"/>
      <c r="I14" s="574"/>
      <c r="J14" s="574"/>
      <c r="K14" s="574"/>
      <c r="L14" s="574"/>
      <c r="M14" s="574"/>
      <c r="N14" s="578"/>
      <c r="O14" s="574"/>
      <c r="P14" s="573"/>
      <c r="Q14" s="590"/>
      <c r="R14" s="595"/>
      <c r="S14" s="592"/>
      <c r="T14" s="577"/>
      <c r="U14" s="590"/>
      <c r="V14" s="595"/>
      <c r="W14" s="639"/>
      <c r="X14" s="640"/>
      <c r="Y14" s="620"/>
      <c r="Z14" s="577"/>
      <c r="AA14" s="590"/>
      <c r="AB14" s="579"/>
      <c r="AC14" s="578"/>
      <c r="AD14" s="577"/>
      <c r="AE14" s="579"/>
      <c r="AF14" s="1149"/>
      <c r="AG14" s="798"/>
      <c r="AH14" s="770"/>
      <c r="AI14" s="991"/>
      <c r="AJ14" s="992" t="s">
        <v>857</v>
      </c>
      <c r="AK14" s="996"/>
      <c r="AL14" s="994"/>
      <c r="AM14" s="994"/>
      <c r="AN14" s="994"/>
      <c r="AO14" s="994"/>
      <c r="AP14" s="994"/>
      <c r="AQ14" s="1112"/>
      <c r="AR14" s="996"/>
      <c r="AS14" s="994"/>
      <c r="AT14" s="994"/>
      <c r="AU14" s="994"/>
      <c r="AV14" s="994"/>
      <c r="AW14" s="994"/>
      <c r="AX14" s="994"/>
      <c r="AY14" s="994"/>
      <c r="AZ14" s="994"/>
      <c r="BA14" s="994"/>
      <c r="BB14" s="994"/>
      <c r="BC14" s="994"/>
      <c r="BD14" s="994"/>
      <c r="BE14" s="1112"/>
      <c r="BF14" s="996"/>
      <c r="BG14" s="997"/>
      <c r="BH14" s="998"/>
      <c r="BJ14" s="823"/>
      <c r="BK14" s="807"/>
      <c r="BL14" s="807"/>
    </row>
    <row r="15" spans="1:72" s="1012" customFormat="1" ht="19" thickTop="1" x14ac:dyDescent="0.35">
      <c r="A15" s="821">
        <v>4</v>
      </c>
      <c r="B15" s="1000"/>
      <c r="C15" s="1000"/>
      <c r="D15" s="1000"/>
      <c r="E15" s="1001" t="s">
        <v>2204</v>
      </c>
      <c r="F15" s="1002"/>
      <c r="G15" s="1002"/>
      <c r="H15" s="1002"/>
      <c r="I15" s="1002"/>
      <c r="J15" s="1002"/>
      <c r="K15" s="1002"/>
      <c r="L15" s="1002"/>
      <c r="M15" s="1002"/>
      <c r="N15" s="1002"/>
      <c r="O15" s="1003"/>
      <c r="P15" s="1002"/>
      <c r="Q15" s="1004">
        <f>Q7+Q9+Q11</f>
        <v>13900000</v>
      </c>
      <c r="R15" s="1004">
        <f>Q7+R9</f>
        <v>14579083</v>
      </c>
      <c r="S15" s="1005"/>
      <c r="T15" s="1005"/>
      <c r="U15" s="1006"/>
      <c r="V15" s="1005"/>
      <c r="W15" s="1009"/>
      <c r="X15" s="1007"/>
      <c r="Y15" s="1010"/>
      <c r="Z15" s="1005"/>
      <c r="AA15" s="1009"/>
      <c r="AB15" s="1006"/>
      <c r="AC15" s="1010"/>
      <c r="AD15" s="1005"/>
      <c r="AE15" s="1150"/>
      <c r="AF15" s="1151"/>
      <c r="AG15" s="821">
        <v>4</v>
      </c>
      <c r="AH15" s="758"/>
      <c r="AI15" s="1011"/>
      <c r="AJ15" s="1011"/>
      <c r="AK15" s="1006"/>
      <c r="AL15" s="1007"/>
      <c r="AM15" s="1007"/>
      <c r="AN15" s="1007"/>
      <c r="AO15" s="1007"/>
      <c r="AP15" s="1007"/>
      <c r="AQ15" s="1007"/>
      <c r="AR15" s="1007"/>
      <c r="AS15" s="1007"/>
      <c r="AT15" s="1007"/>
      <c r="AU15" s="1007"/>
      <c r="AV15" s="1007"/>
      <c r="AW15" s="1007"/>
      <c r="AX15" s="1007"/>
      <c r="AY15" s="1007"/>
      <c r="AZ15" s="1007"/>
      <c r="BA15" s="1007"/>
      <c r="BB15" s="1007"/>
      <c r="BC15" s="1007"/>
      <c r="BD15" s="1007"/>
      <c r="BE15" s="1007"/>
      <c r="BF15" s="1007"/>
      <c r="BG15" s="1007"/>
      <c r="BH15" s="1007"/>
      <c r="BI15" s="758"/>
      <c r="BJ15" s="860"/>
      <c r="BK15" s="1325"/>
      <c r="BL15" s="1512"/>
    </row>
    <row r="16" spans="1:72" s="1012" customFormat="1" ht="18.5" x14ac:dyDescent="0.35">
      <c r="A16" s="821">
        <v>5</v>
      </c>
      <c r="B16" s="1013"/>
      <c r="C16" s="1014"/>
      <c r="D16" s="1014"/>
      <c r="E16" s="1015" t="s">
        <v>859</v>
      </c>
      <c r="F16" s="1016"/>
      <c r="G16" s="1016"/>
      <c r="H16" s="1016"/>
      <c r="I16" s="1016"/>
      <c r="J16" s="1016"/>
      <c r="K16" s="1016"/>
      <c r="L16" s="1016"/>
      <c r="M16" s="1016"/>
      <c r="N16" s="1016"/>
      <c r="O16" s="1017"/>
      <c r="P16" s="1018"/>
      <c r="Q16" s="1016"/>
      <c r="R16" s="1016"/>
      <c r="S16" s="1018"/>
      <c r="T16" s="1018"/>
      <c r="U16" s="1019">
        <f>U7+U9+U11</f>
        <v>0</v>
      </c>
      <c r="V16" s="1020"/>
      <c r="W16" s="1113"/>
      <c r="X16" s="1021"/>
      <c r="Y16" s="1020"/>
      <c r="AA16" s="1023"/>
      <c r="AB16" s="1113"/>
      <c r="AC16" s="1020"/>
      <c r="AE16" s="1152"/>
      <c r="AF16" s="1153"/>
      <c r="AG16" s="821">
        <v>5</v>
      </c>
      <c r="AH16" s="758"/>
      <c r="AJ16" s="1024"/>
      <c r="AK16" s="1023"/>
      <c r="AL16" s="1025"/>
      <c r="AM16" s="1025"/>
      <c r="AN16" s="1025"/>
      <c r="AO16" s="1025"/>
      <c r="AP16" s="1025"/>
      <c r="AQ16" s="1025"/>
      <c r="AR16" s="1025"/>
      <c r="AS16" s="1025"/>
      <c r="AT16" s="1025"/>
      <c r="AU16" s="1025"/>
      <c r="AV16" s="1025"/>
      <c r="AW16" s="1025"/>
      <c r="AX16" s="1025"/>
      <c r="AY16" s="1025"/>
      <c r="AZ16" s="1025"/>
      <c r="BA16" s="1025"/>
      <c r="BB16" s="1025"/>
      <c r="BC16" s="1025"/>
      <c r="BD16" s="1025"/>
      <c r="BE16" s="1025"/>
      <c r="BF16" s="1025"/>
      <c r="BG16" s="1025"/>
      <c r="BH16" s="1025"/>
      <c r="BI16" s="758"/>
      <c r="BJ16" s="791"/>
      <c r="BK16" s="1325"/>
      <c r="BL16" s="1512"/>
    </row>
    <row r="17" spans="1:64" s="1012" customFormat="1" ht="18.5" x14ac:dyDescent="0.35">
      <c r="A17" s="821">
        <v>6</v>
      </c>
      <c r="B17" s="1026"/>
      <c r="C17" s="1026"/>
      <c r="D17" s="1026"/>
      <c r="E17" s="1027" t="s">
        <v>860</v>
      </c>
      <c r="F17" s="1028"/>
      <c r="G17" s="1028"/>
      <c r="H17" s="1028"/>
      <c r="I17" s="1028"/>
      <c r="J17" s="1028"/>
      <c r="K17" s="1028"/>
      <c r="L17" s="1028"/>
      <c r="M17" s="1028"/>
      <c r="N17" s="1028"/>
      <c r="O17" s="1029"/>
      <c r="P17" s="1030"/>
      <c r="Q17" s="1028"/>
      <c r="R17" s="1028"/>
      <c r="S17" s="1030"/>
      <c r="T17" s="1030"/>
      <c r="U17" s="1028"/>
      <c r="V17" s="1028"/>
      <c r="W17" s="1114">
        <f>W7+W9+W11</f>
        <v>13900000</v>
      </c>
      <c r="X17" s="1031"/>
      <c r="Y17" s="1034"/>
      <c r="Z17" s="1033"/>
      <c r="AA17" s="1114">
        <f>AA7+AA9+AA11</f>
        <v>12154596</v>
      </c>
      <c r="AB17" s="1115"/>
      <c r="AC17" s="1034"/>
      <c r="AD17" s="1033"/>
      <c r="AE17" s="1154">
        <f>AE7+AE9+AE11</f>
        <v>12154596</v>
      </c>
      <c r="AF17" s="1151"/>
      <c r="AG17" s="821">
        <v>6</v>
      </c>
      <c r="AH17" s="881"/>
      <c r="AI17" s="1011"/>
      <c r="AJ17" s="1011"/>
      <c r="AK17" s="1006"/>
      <c r="AL17" s="1007"/>
      <c r="AM17" s="1007"/>
      <c r="AN17" s="1007"/>
      <c r="AO17" s="1007"/>
      <c r="AP17" s="1007"/>
      <c r="AQ17" s="1007"/>
      <c r="AR17" s="1007"/>
      <c r="AS17" s="1007"/>
      <c r="AT17" s="1007"/>
      <c r="AU17" s="1007"/>
      <c r="AV17" s="1007"/>
      <c r="AW17" s="1007"/>
      <c r="AX17" s="1007"/>
      <c r="AY17" s="1007"/>
      <c r="AZ17" s="1007"/>
      <c r="BA17" s="1007"/>
      <c r="BB17" s="1007"/>
      <c r="BC17" s="1007"/>
      <c r="BD17" s="1007"/>
      <c r="BE17" s="1007"/>
      <c r="BF17" s="1007"/>
      <c r="BG17" s="1007"/>
      <c r="BH17" s="1007"/>
      <c r="BI17" s="881"/>
      <c r="BJ17" s="823"/>
      <c r="BK17" s="1325"/>
      <c r="BL17" s="1512"/>
    </row>
    <row r="18" spans="1:64" s="1012" customFormat="1" ht="18.5" x14ac:dyDescent="0.35">
      <c r="A18" s="821">
        <v>7</v>
      </c>
      <c r="B18" s="1036"/>
      <c r="C18" s="1036"/>
      <c r="D18" s="1036"/>
      <c r="E18" s="1037" t="s">
        <v>861</v>
      </c>
      <c r="F18" s="1038"/>
      <c r="G18" s="1038"/>
      <c r="H18" s="1038"/>
      <c r="I18" s="1038"/>
      <c r="J18" s="1038"/>
      <c r="K18" s="1038"/>
      <c r="L18" s="1038"/>
      <c r="M18" s="1038"/>
      <c r="N18" s="1038"/>
      <c r="O18" s="1039"/>
      <c r="P18" s="1040"/>
      <c r="Q18" s="1038"/>
      <c r="R18" s="1038"/>
      <c r="S18" s="1040"/>
      <c r="T18" s="1040"/>
      <c r="U18" s="1038"/>
      <c r="V18" s="1038"/>
      <c r="W18" s="1038"/>
      <c r="X18" s="1041">
        <f>X7+X9+X11</f>
        <v>1745404</v>
      </c>
      <c r="Y18" s="1155"/>
      <c r="Z18" s="1043"/>
      <c r="AA18" s="1043"/>
      <c r="AB18" s="1041">
        <f>AB7+AB9+AB11</f>
        <v>0</v>
      </c>
      <c r="AC18" s="1020"/>
      <c r="AE18" s="1116"/>
      <c r="AG18" s="821">
        <v>7</v>
      </c>
      <c r="AH18" s="821">
        <v>7</v>
      </c>
      <c r="AI18" s="1036"/>
      <c r="AJ18" s="1037" t="s">
        <v>862</v>
      </c>
      <c r="AK18" s="1117">
        <f>AK7+AK9+AK11</f>
        <v>1483593</v>
      </c>
      <c r="AL18" s="1117">
        <f t="shared" ref="AL18:BH18" si="0">AL7+AL9+AL11</f>
        <v>261811</v>
      </c>
      <c r="AM18" s="1117">
        <f t="shared" si="0"/>
        <v>0</v>
      </c>
      <c r="AN18" s="1117">
        <f t="shared" si="0"/>
        <v>0</v>
      </c>
      <c r="AO18" s="1117">
        <f t="shared" si="0"/>
        <v>0</v>
      </c>
      <c r="AP18" s="1117">
        <f t="shared" si="0"/>
        <v>0</v>
      </c>
      <c r="AQ18" s="1117">
        <f t="shared" si="0"/>
        <v>0</v>
      </c>
      <c r="AR18" s="1117">
        <f t="shared" si="0"/>
        <v>0</v>
      </c>
      <c r="AS18" s="1117">
        <f t="shared" si="0"/>
        <v>0</v>
      </c>
      <c r="AT18" s="1117">
        <f t="shared" si="0"/>
        <v>0</v>
      </c>
      <c r="AU18" s="1117">
        <f t="shared" si="0"/>
        <v>0</v>
      </c>
      <c r="AV18" s="1117">
        <f t="shared" si="0"/>
        <v>0</v>
      </c>
      <c r="AW18" s="1117">
        <f t="shared" si="0"/>
        <v>0</v>
      </c>
      <c r="AX18" s="1117">
        <f t="shared" si="0"/>
        <v>0</v>
      </c>
      <c r="AY18" s="1117">
        <f t="shared" si="0"/>
        <v>0</v>
      </c>
      <c r="AZ18" s="1117">
        <f t="shared" si="0"/>
        <v>0</v>
      </c>
      <c r="BA18" s="1117">
        <f t="shared" si="0"/>
        <v>0</v>
      </c>
      <c r="BB18" s="1117">
        <f t="shared" si="0"/>
        <v>0</v>
      </c>
      <c r="BC18" s="1117">
        <f t="shared" si="0"/>
        <v>0</v>
      </c>
      <c r="BD18" s="1117">
        <f t="shared" si="0"/>
        <v>0</v>
      </c>
      <c r="BE18" s="1117">
        <f t="shared" si="0"/>
        <v>0</v>
      </c>
      <c r="BF18" s="1117">
        <f t="shared" si="0"/>
        <v>0</v>
      </c>
      <c r="BG18" s="1117">
        <f t="shared" si="0"/>
        <v>0</v>
      </c>
      <c r="BH18" s="1117">
        <f t="shared" si="0"/>
        <v>0</v>
      </c>
      <c r="BI18" s="821">
        <v>7</v>
      </c>
      <c r="BJ18" s="823"/>
      <c r="BK18" s="1325"/>
      <c r="BL18" s="1512"/>
    </row>
    <row r="19" spans="1:64" s="1012" customFormat="1" ht="15" customHeight="1" x14ac:dyDescent="0.35">
      <c r="A19" s="758"/>
      <c r="B19" s="1072" t="s">
        <v>449</v>
      </c>
      <c r="C19" s="1072" t="s">
        <v>450</v>
      </c>
      <c r="D19" s="1072" t="s">
        <v>451</v>
      </c>
      <c r="E19" s="1072" t="s">
        <v>452</v>
      </c>
      <c r="F19" s="1464" t="s">
        <v>453</v>
      </c>
      <c r="G19" s="1464"/>
      <c r="H19" s="1464"/>
      <c r="I19" s="1464"/>
      <c r="J19" s="1464"/>
      <c r="K19" s="1464"/>
      <c r="L19" s="1464"/>
      <c r="M19" s="1464"/>
      <c r="N19" s="1464"/>
      <c r="O19" s="1072" t="s">
        <v>454</v>
      </c>
      <c r="P19" s="1072" t="s">
        <v>455</v>
      </c>
      <c r="Q19" s="1072" t="s">
        <v>456</v>
      </c>
      <c r="R19" s="1072"/>
      <c r="S19" s="1072" t="s">
        <v>457</v>
      </c>
      <c r="T19" s="1072" t="s">
        <v>458</v>
      </c>
      <c r="U19" s="1072" t="s">
        <v>459</v>
      </c>
      <c r="V19" s="1072" t="s">
        <v>460</v>
      </c>
      <c r="W19" s="1072" t="s">
        <v>461</v>
      </c>
      <c r="X19" s="1072" t="s">
        <v>242</v>
      </c>
      <c r="Y19" s="1072" t="s">
        <v>462</v>
      </c>
      <c r="Z19" s="1072" t="s">
        <v>463</v>
      </c>
      <c r="AA19" s="1072" t="s">
        <v>464</v>
      </c>
      <c r="AB19" s="1072" t="s">
        <v>465</v>
      </c>
      <c r="AC19" s="1072" t="s">
        <v>466</v>
      </c>
      <c r="AD19" s="1072" t="s">
        <v>467</v>
      </c>
      <c r="AE19" s="1072" t="s">
        <v>468</v>
      </c>
      <c r="AF19" s="1072" t="s">
        <v>469</v>
      </c>
      <c r="AG19" s="758"/>
      <c r="AH19" s="758"/>
      <c r="AI19" s="1072" t="s">
        <v>449</v>
      </c>
      <c r="AJ19" s="1072" t="s">
        <v>450</v>
      </c>
      <c r="AK19" s="1072" t="s">
        <v>471</v>
      </c>
      <c r="AL19" s="1072" t="s">
        <v>472</v>
      </c>
      <c r="AM19" s="1072" t="s">
        <v>473</v>
      </c>
      <c r="AN19" s="1072" t="s">
        <v>474</v>
      </c>
      <c r="AO19" s="1072" t="s">
        <v>475</v>
      </c>
      <c r="AP19" s="1072" t="s">
        <v>476</v>
      </c>
      <c r="AQ19" s="1072" t="s">
        <v>477</v>
      </c>
      <c r="AR19" s="1072" t="s">
        <v>478</v>
      </c>
      <c r="AS19" s="1072" t="s">
        <v>479</v>
      </c>
      <c r="AT19" s="1072" t="s">
        <v>480</v>
      </c>
      <c r="AU19" s="1072" t="s">
        <v>481</v>
      </c>
      <c r="AV19" s="1072" t="s">
        <v>482</v>
      </c>
      <c r="AW19" s="1072" t="s">
        <v>483</v>
      </c>
      <c r="AX19" s="1072" t="s">
        <v>484</v>
      </c>
      <c r="AY19" s="1072" t="s">
        <v>485</v>
      </c>
      <c r="AZ19" s="1072" t="s">
        <v>486</v>
      </c>
      <c r="BA19" s="1072" t="s">
        <v>487</v>
      </c>
      <c r="BB19" s="1072" t="s">
        <v>488</v>
      </c>
      <c r="BC19" s="1072" t="s">
        <v>489</v>
      </c>
      <c r="BD19" s="1072" t="s">
        <v>490</v>
      </c>
      <c r="BE19" s="1072" t="s">
        <v>491</v>
      </c>
      <c r="BF19" s="1072" t="s">
        <v>492</v>
      </c>
      <c r="BG19" s="1072" t="s">
        <v>493</v>
      </c>
      <c r="BH19" s="1072" t="s">
        <v>494</v>
      </c>
      <c r="BI19" s="758"/>
      <c r="BJ19" s="889"/>
      <c r="BK19" s="1325"/>
      <c r="BL19" s="1512"/>
    </row>
    <row r="20" spans="1:64" s="758" customFormat="1" ht="15" customHeight="1" x14ac:dyDescent="0.35">
      <c r="Q20" s="758" t="s">
        <v>463</v>
      </c>
      <c r="U20" s="758" t="s">
        <v>466</v>
      </c>
      <c r="W20" s="758" t="s">
        <v>468</v>
      </c>
      <c r="X20" s="758" t="s">
        <v>469</v>
      </c>
      <c r="AA20" s="758" t="s">
        <v>257</v>
      </c>
      <c r="AB20" s="758" t="s">
        <v>1269</v>
      </c>
      <c r="AE20" s="758" t="s">
        <v>473</v>
      </c>
      <c r="AK20" s="880" t="s">
        <v>475</v>
      </c>
      <c r="AL20" s="880" t="s">
        <v>476</v>
      </c>
      <c r="AM20" s="880" t="s">
        <v>477</v>
      </c>
      <c r="AN20" s="880" t="s">
        <v>478</v>
      </c>
      <c r="AO20" s="880" t="s">
        <v>479</v>
      </c>
      <c r="AP20" s="880" t="s">
        <v>480</v>
      </c>
      <c r="AQ20" s="880" t="s">
        <v>481</v>
      </c>
      <c r="AR20" s="880" t="s">
        <v>482</v>
      </c>
      <c r="AS20" s="880" t="s">
        <v>483</v>
      </c>
      <c r="AT20" s="880" t="s">
        <v>484</v>
      </c>
      <c r="AU20" s="880" t="s">
        <v>485</v>
      </c>
      <c r="AV20" s="880" t="s">
        <v>486</v>
      </c>
      <c r="AW20" s="880" t="s">
        <v>487</v>
      </c>
      <c r="AX20" s="880" t="s">
        <v>488</v>
      </c>
      <c r="AY20" s="880" t="s">
        <v>489</v>
      </c>
      <c r="AZ20" s="880" t="s">
        <v>490</v>
      </c>
      <c r="BA20" s="880" t="s">
        <v>491</v>
      </c>
      <c r="BB20" s="880" t="s">
        <v>492</v>
      </c>
      <c r="BC20" s="880" t="s">
        <v>493</v>
      </c>
      <c r="BD20" s="880" t="s">
        <v>494</v>
      </c>
      <c r="BE20" s="880" t="s">
        <v>1270</v>
      </c>
      <c r="BF20" s="758" t="s">
        <v>1271</v>
      </c>
      <c r="BG20" s="758" t="s">
        <v>1272</v>
      </c>
      <c r="BH20" s="758" t="s">
        <v>1273</v>
      </c>
      <c r="BJ20" s="1156"/>
      <c r="BK20" s="1317"/>
      <c r="BL20" s="1513"/>
    </row>
    <row r="21" spans="1:64" s="1012" customFormat="1" ht="18.5" x14ac:dyDescent="0.35">
      <c r="A21" s="758"/>
      <c r="E21" s="1020"/>
      <c r="F21" s="1020"/>
      <c r="G21" s="1020"/>
      <c r="H21" s="1020"/>
      <c r="I21" s="1020"/>
      <c r="J21" s="1020"/>
      <c r="K21" s="1020"/>
      <c r="L21" s="1020"/>
      <c r="M21" s="1020"/>
      <c r="N21" s="1020"/>
      <c r="O21" s="1020"/>
      <c r="Q21" s="1020"/>
      <c r="R21" s="1020"/>
      <c r="U21" s="1020"/>
      <c r="V21" s="1020"/>
      <c r="W21" s="1020"/>
      <c r="X21" s="1020"/>
      <c r="Y21" s="1020"/>
      <c r="AB21" s="1020"/>
      <c r="AC21" s="1020"/>
      <c r="AG21" s="758"/>
      <c r="AH21" s="758"/>
      <c r="BI21" s="758"/>
      <c r="BJ21" s="889"/>
      <c r="BK21" s="1118"/>
      <c r="BL21" s="1119"/>
    </row>
    <row r="22" spans="1:64" x14ac:dyDescent="0.35">
      <c r="AK22" s="928"/>
      <c r="AL22" s="1060"/>
      <c r="AM22" s="928"/>
      <c r="AN22" s="928"/>
      <c r="AO22" s="928"/>
      <c r="AP22" s="928"/>
      <c r="AQ22" s="928"/>
      <c r="AR22" s="928"/>
      <c r="AS22" s="928"/>
      <c r="AT22" s="928"/>
      <c r="AU22" s="928"/>
      <c r="AV22" s="928"/>
      <c r="AW22" s="928"/>
      <c r="AX22" s="928"/>
      <c r="AY22" s="928"/>
      <c r="AZ22" s="928"/>
      <c r="BA22" s="928"/>
      <c r="BB22" s="928"/>
      <c r="BC22" s="928"/>
      <c r="BD22" s="928"/>
      <c r="BE22" s="928"/>
      <c r="BF22" s="1060"/>
    </row>
    <row r="23" spans="1:64" x14ac:dyDescent="0.35">
      <c r="AK23" s="928"/>
      <c r="AL23" s="1060"/>
      <c r="AM23" s="928"/>
      <c r="AN23" s="928"/>
      <c r="AO23" s="928"/>
      <c r="AP23" s="928"/>
      <c r="AQ23" s="928"/>
      <c r="AR23" s="928"/>
      <c r="AS23" s="928"/>
      <c r="AT23" s="928"/>
      <c r="AU23" s="928"/>
      <c r="AV23" s="928"/>
      <c r="AW23" s="928"/>
      <c r="AX23" s="928"/>
      <c r="AY23" s="928"/>
      <c r="AZ23" s="928"/>
      <c r="BA23" s="928"/>
      <c r="BB23" s="928"/>
      <c r="BC23" s="928"/>
      <c r="BD23" s="928"/>
      <c r="BE23" s="928"/>
      <c r="BF23" s="1060"/>
    </row>
    <row r="24" spans="1:64" x14ac:dyDescent="0.35">
      <c r="AK24" s="928"/>
      <c r="AL24" s="1060"/>
      <c r="AM24" s="928"/>
      <c r="AN24" s="928"/>
      <c r="AO24" s="928"/>
      <c r="AP24" s="928"/>
      <c r="AQ24" s="928"/>
      <c r="AR24" s="928"/>
      <c r="AS24" s="928"/>
      <c r="AT24" s="928"/>
      <c r="AU24" s="928"/>
      <c r="AV24" s="928"/>
      <c r="AW24" s="928"/>
      <c r="AX24" s="928"/>
      <c r="AY24" s="928"/>
      <c r="AZ24" s="928"/>
      <c r="BA24" s="928"/>
      <c r="BB24" s="928"/>
      <c r="BC24" s="928"/>
      <c r="BD24" s="928"/>
      <c r="BE24" s="928"/>
      <c r="BF24" s="1060"/>
    </row>
    <row r="25" spans="1:64" x14ac:dyDescent="0.35">
      <c r="AK25" s="928"/>
      <c r="AL25" s="1060"/>
      <c r="AM25" s="928"/>
      <c r="AN25" s="928"/>
      <c r="AO25" s="928"/>
      <c r="AP25" s="928"/>
      <c r="AQ25" s="928"/>
      <c r="AR25" s="928"/>
      <c r="AS25" s="928"/>
      <c r="AT25" s="928"/>
      <c r="AU25" s="928"/>
      <c r="AV25" s="928"/>
      <c r="AW25" s="928"/>
      <c r="AX25" s="928"/>
      <c r="AY25" s="928"/>
      <c r="AZ25" s="928"/>
      <c r="BA25" s="928"/>
      <c r="BB25" s="928"/>
      <c r="BC25" s="928"/>
      <c r="BD25" s="928"/>
      <c r="BE25" s="928"/>
      <c r="BF25" s="1060"/>
    </row>
    <row r="26" spans="1:64" x14ac:dyDescent="0.35">
      <c r="AK26" s="928"/>
      <c r="AL26" s="1060"/>
      <c r="AM26" s="928"/>
      <c r="AN26" s="928"/>
      <c r="AO26" s="928"/>
      <c r="AP26" s="928"/>
      <c r="AQ26" s="928"/>
      <c r="AR26" s="928"/>
      <c r="AS26" s="928"/>
      <c r="AT26" s="928"/>
      <c r="AU26" s="928"/>
      <c r="AV26" s="928"/>
      <c r="AW26" s="928"/>
      <c r="AX26" s="928"/>
      <c r="AY26" s="928"/>
      <c r="AZ26" s="928"/>
      <c r="BA26" s="928"/>
      <c r="BB26" s="928"/>
      <c r="BC26" s="928"/>
      <c r="BD26" s="928"/>
      <c r="BE26" s="928"/>
      <c r="BF26" s="1060"/>
    </row>
    <row r="27" spans="1:64" x14ac:dyDescent="0.35">
      <c r="AK27" s="928"/>
      <c r="AL27" s="1060"/>
      <c r="AM27" s="928"/>
      <c r="AN27" s="928"/>
      <c r="AO27" s="928"/>
      <c r="AP27" s="928"/>
      <c r="AQ27" s="928"/>
      <c r="AR27" s="928"/>
      <c r="AS27" s="928"/>
      <c r="AT27" s="928"/>
      <c r="AU27" s="928"/>
      <c r="AV27" s="928"/>
      <c r="AW27" s="928"/>
      <c r="AX27" s="928"/>
      <c r="AY27" s="928"/>
      <c r="AZ27" s="928"/>
      <c r="BA27" s="928"/>
      <c r="BB27" s="928"/>
      <c r="BC27" s="928"/>
      <c r="BD27" s="928"/>
      <c r="BE27" s="928"/>
      <c r="BF27" s="1060"/>
    </row>
    <row r="28" spans="1:64" x14ac:dyDescent="0.35">
      <c r="AK28" s="928"/>
      <c r="AL28" s="1060"/>
      <c r="AM28" s="1064"/>
      <c r="AN28" s="1065"/>
      <c r="AO28" s="1064"/>
      <c r="AP28" s="1065"/>
      <c r="AQ28" s="1066"/>
      <c r="AR28" s="928"/>
      <c r="AS28" s="928"/>
      <c r="AT28" s="928"/>
      <c r="AU28" s="928"/>
      <c r="AV28" s="928"/>
      <c r="AW28" s="928"/>
      <c r="AX28" s="928"/>
      <c r="AY28" s="928"/>
      <c r="AZ28" s="928"/>
      <c r="BA28" s="928"/>
      <c r="BB28" s="928"/>
      <c r="BC28" s="928"/>
      <c r="BD28" s="928"/>
      <c r="BE28" s="928"/>
      <c r="BF28" s="1060"/>
    </row>
    <row r="29" spans="1:64" x14ac:dyDescent="0.35">
      <c r="AK29" s="928"/>
      <c r="AL29" s="1060"/>
      <c r="AM29" s="1066"/>
      <c r="AN29" s="1066"/>
      <c r="AO29" s="1064"/>
      <c r="AP29" s="1066"/>
      <c r="AQ29" s="1066"/>
      <c r="AR29" s="1066"/>
      <c r="AS29" s="928"/>
      <c r="AT29" s="928"/>
      <c r="AU29" s="928"/>
      <c r="AV29" s="928"/>
      <c r="AW29" s="928"/>
      <c r="AX29" s="928"/>
      <c r="AY29" s="928"/>
      <c r="AZ29" s="928"/>
      <c r="BA29" s="928"/>
      <c r="BB29" s="928"/>
      <c r="BC29" s="928"/>
      <c r="BD29" s="928"/>
      <c r="BE29" s="928"/>
      <c r="BF29" s="1060"/>
    </row>
    <row r="30" spans="1:64" x14ac:dyDescent="0.35">
      <c r="AK30" s="928"/>
      <c r="AL30" s="1060"/>
      <c r="AM30" s="928"/>
      <c r="AN30" s="928"/>
      <c r="AO30" s="928"/>
      <c r="AP30" s="928"/>
      <c r="AQ30" s="928"/>
      <c r="AR30" s="928"/>
      <c r="AS30" s="928"/>
      <c r="AT30" s="928"/>
      <c r="AU30" s="928"/>
      <c r="AV30" s="928"/>
      <c r="AW30" s="928"/>
      <c r="AX30" s="928"/>
      <c r="AY30" s="928"/>
      <c r="AZ30" s="928"/>
      <c r="BA30" s="928"/>
      <c r="BB30" s="928"/>
      <c r="BC30" s="928"/>
      <c r="BD30" s="928"/>
      <c r="BE30" s="928"/>
      <c r="BF30" s="1060"/>
    </row>
    <row r="31" spans="1:64" x14ac:dyDescent="0.35">
      <c r="AK31" s="928"/>
      <c r="AL31" s="1060"/>
      <c r="AM31" s="928"/>
      <c r="AN31" s="928"/>
      <c r="AO31" s="928"/>
      <c r="AP31" s="928"/>
      <c r="AQ31" s="928"/>
      <c r="AR31" s="928"/>
      <c r="AS31" s="928"/>
      <c r="AT31" s="928"/>
      <c r="AU31" s="928"/>
      <c r="AV31" s="928"/>
      <c r="AW31" s="928"/>
      <c r="AX31" s="928"/>
      <c r="AY31" s="928"/>
      <c r="AZ31" s="928"/>
      <c r="BA31" s="928"/>
      <c r="BB31" s="928"/>
      <c r="BC31" s="928"/>
      <c r="BD31" s="928"/>
      <c r="BE31" s="928"/>
      <c r="BF31" s="1060"/>
    </row>
    <row r="32" spans="1:64" x14ac:dyDescent="0.35">
      <c r="Q32" s="750"/>
      <c r="R32" s="750"/>
      <c r="AK32" s="928"/>
      <c r="AL32" s="1060"/>
      <c r="AM32" s="928"/>
      <c r="AN32" s="928"/>
      <c r="AO32" s="928"/>
      <c r="AP32" s="928"/>
      <c r="AQ32" s="1066"/>
      <c r="AR32" s="928"/>
      <c r="AS32" s="928"/>
      <c r="AT32" s="928"/>
      <c r="AU32" s="928"/>
      <c r="AV32" s="928"/>
      <c r="AW32" s="928"/>
      <c r="AX32" s="928"/>
      <c r="AY32" s="928"/>
      <c r="AZ32" s="928"/>
      <c r="BA32" s="928"/>
      <c r="BB32" s="928"/>
      <c r="BC32" s="928"/>
      <c r="BD32" s="928"/>
      <c r="BE32" s="928"/>
      <c r="BF32" s="1060"/>
    </row>
    <row r="33" spans="37:58" x14ac:dyDescent="0.35">
      <c r="AK33" s="928"/>
      <c r="AL33" s="1060"/>
      <c r="AM33" s="928"/>
      <c r="AN33" s="928"/>
      <c r="AO33" s="928"/>
      <c r="AP33" s="928"/>
      <c r="AQ33" s="928"/>
      <c r="AR33" s="928"/>
      <c r="AS33" s="928"/>
      <c r="AT33" s="928"/>
      <c r="AU33" s="928"/>
      <c r="AV33" s="928"/>
      <c r="AW33" s="928"/>
      <c r="AX33" s="928"/>
      <c r="AY33" s="928"/>
      <c r="AZ33" s="928"/>
      <c r="BA33" s="928"/>
      <c r="BB33" s="928"/>
      <c r="BC33" s="928"/>
      <c r="BD33" s="928"/>
      <c r="BE33" s="928"/>
      <c r="BF33" s="1060"/>
    </row>
    <row r="34" spans="37:58" x14ac:dyDescent="0.35">
      <c r="AK34" s="928"/>
      <c r="AL34" s="1060"/>
      <c r="AM34" s="928"/>
      <c r="AN34" s="928"/>
      <c r="AO34" s="928"/>
      <c r="AP34" s="928"/>
      <c r="AQ34" s="928"/>
      <c r="AR34" s="928"/>
      <c r="AS34" s="928"/>
      <c r="AT34" s="928"/>
      <c r="AU34" s="928"/>
      <c r="AV34" s="928"/>
      <c r="AW34" s="928"/>
      <c r="AX34" s="928"/>
      <c r="AY34" s="928"/>
      <c r="AZ34" s="928"/>
      <c r="BA34" s="928"/>
      <c r="BB34" s="928"/>
      <c r="BC34" s="928"/>
      <c r="BD34" s="928"/>
      <c r="BE34" s="928"/>
      <c r="BF34" s="1060"/>
    </row>
    <row r="35" spans="37:58" x14ac:dyDescent="0.35">
      <c r="AK35" s="928"/>
      <c r="AL35" s="1060"/>
      <c r="AM35" s="928"/>
      <c r="AN35" s="928"/>
      <c r="AO35" s="928"/>
      <c r="AP35" s="928"/>
      <c r="AQ35" s="928"/>
      <c r="AR35" s="928"/>
      <c r="AS35" s="928"/>
      <c r="AT35" s="928"/>
      <c r="AU35" s="928"/>
      <c r="AV35" s="928"/>
      <c r="AW35" s="928"/>
      <c r="AX35" s="928"/>
      <c r="AY35" s="928"/>
      <c r="AZ35" s="928"/>
      <c r="BA35" s="928"/>
      <c r="BB35" s="928"/>
      <c r="BC35" s="928"/>
      <c r="BD35" s="928"/>
      <c r="BE35" s="928"/>
      <c r="BF35" s="1060"/>
    </row>
    <row r="36" spans="37:58" x14ac:dyDescent="0.35">
      <c r="AK36" s="928"/>
      <c r="AL36" s="1060"/>
      <c r="AM36" s="928"/>
      <c r="AN36" s="928"/>
      <c r="AO36" s="928"/>
      <c r="AP36" s="928"/>
      <c r="AQ36" s="928"/>
      <c r="AR36" s="928"/>
      <c r="AS36" s="928"/>
      <c r="AT36" s="928"/>
      <c r="AU36" s="928"/>
      <c r="AV36" s="928"/>
      <c r="AW36" s="928"/>
      <c r="AX36" s="928"/>
      <c r="AY36" s="928"/>
      <c r="AZ36" s="928"/>
      <c r="BA36" s="928"/>
      <c r="BB36" s="928"/>
      <c r="BC36" s="928"/>
      <c r="BD36" s="928"/>
      <c r="BE36" s="928"/>
      <c r="BF36" s="1060"/>
    </row>
    <row r="37" spans="37:58" x14ac:dyDescent="0.35">
      <c r="AK37" s="928"/>
      <c r="AL37" s="1060"/>
      <c r="AM37" s="928"/>
      <c r="AN37" s="928"/>
      <c r="AO37" s="928"/>
      <c r="AP37" s="928"/>
      <c r="AQ37" s="928"/>
      <c r="AR37" s="928"/>
      <c r="AS37" s="928"/>
      <c r="AT37" s="928"/>
      <c r="AU37" s="928"/>
      <c r="AV37" s="928"/>
      <c r="AW37" s="928"/>
      <c r="AX37" s="928"/>
      <c r="AY37" s="928"/>
      <c r="AZ37" s="928"/>
      <c r="BA37" s="928"/>
      <c r="BB37" s="928"/>
      <c r="BC37" s="928"/>
      <c r="BD37" s="928"/>
      <c r="BE37" s="928"/>
      <c r="BF37" s="1060"/>
    </row>
    <row r="38" spans="37:58" x14ac:dyDescent="0.35">
      <c r="AK38" s="928"/>
      <c r="AL38" s="1060"/>
      <c r="AM38" s="928"/>
      <c r="AN38" s="928"/>
      <c r="AO38" s="928"/>
      <c r="AP38" s="928"/>
      <c r="AQ38" s="928"/>
      <c r="AR38" s="928"/>
      <c r="AS38" s="928"/>
      <c r="AT38" s="928"/>
      <c r="AU38" s="928"/>
      <c r="AV38" s="928"/>
      <c r="AW38" s="928"/>
      <c r="AX38" s="928"/>
      <c r="AY38" s="928"/>
      <c r="AZ38" s="928"/>
      <c r="BA38" s="928"/>
      <c r="BB38" s="928"/>
      <c r="BC38" s="928"/>
      <c r="BD38" s="928"/>
      <c r="BE38" s="928"/>
      <c r="BF38" s="1060"/>
    </row>
    <row r="39" spans="37:58" x14ac:dyDescent="0.35">
      <c r="AK39" s="928"/>
      <c r="AL39" s="1060"/>
      <c r="AM39" s="928"/>
      <c r="AN39" s="928"/>
      <c r="AO39" s="928"/>
      <c r="AP39" s="928"/>
      <c r="AQ39" s="928"/>
      <c r="AR39" s="928"/>
      <c r="AS39" s="928"/>
      <c r="AT39" s="928"/>
      <c r="AU39" s="928"/>
      <c r="AV39" s="928"/>
      <c r="AW39" s="928"/>
      <c r="AX39" s="928"/>
      <c r="AY39" s="928"/>
      <c r="AZ39" s="928"/>
      <c r="BA39" s="928"/>
      <c r="BB39" s="928"/>
      <c r="BC39" s="928"/>
      <c r="BD39" s="1068"/>
      <c r="BE39" s="1069"/>
      <c r="BF39" s="1060"/>
    </row>
    <row r="40" spans="37:58" x14ac:dyDescent="0.35">
      <c r="AK40" s="928"/>
      <c r="AL40" s="1060"/>
      <c r="AM40" s="928"/>
      <c r="AN40" s="928"/>
      <c r="AO40" s="928"/>
      <c r="AP40" s="928"/>
      <c r="AQ40" s="928"/>
      <c r="AR40" s="928"/>
      <c r="AS40" s="928"/>
      <c r="AT40" s="928"/>
      <c r="AU40" s="928"/>
      <c r="AV40" s="928"/>
      <c r="AW40" s="928"/>
      <c r="AX40" s="928"/>
      <c r="AY40" s="928"/>
      <c r="AZ40" s="928"/>
      <c r="BA40" s="928"/>
      <c r="BB40" s="928"/>
      <c r="BC40" s="928"/>
      <c r="BD40" s="1068"/>
      <c r="BE40" s="1068"/>
      <c r="BF40" s="1060"/>
    </row>
    <row r="41" spans="37:58" x14ac:dyDescent="0.35">
      <c r="AK41" s="928"/>
      <c r="AL41" s="1060"/>
      <c r="AM41" s="928"/>
      <c r="AN41" s="928"/>
      <c r="AO41" s="928"/>
      <c r="AP41" s="928"/>
      <c r="AQ41" s="928"/>
      <c r="AR41" s="928"/>
      <c r="AS41" s="928"/>
      <c r="AT41" s="928"/>
      <c r="AU41" s="928"/>
      <c r="AV41" s="928"/>
      <c r="AW41" s="928"/>
      <c r="AX41" s="928"/>
      <c r="AY41" s="928"/>
      <c r="AZ41" s="928"/>
      <c r="BA41" s="928"/>
      <c r="BB41" s="928"/>
      <c r="BC41" s="928"/>
      <c r="BD41" s="1068"/>
      <c r="BE41" s="1068"/>
      <c r="BF41" s="1060"/>
    </row>
    <row r="42" spans="37:58" x14ac:dyDescent="0.35">
      <c r="AK42" s="928"/>
      <c r="AL42" s="1060"/>
      <c r="AM42" s="928"/>
      <c r="AN42" s="928"/>
      <c r="AO42" s="928"/>
      <c r="AP42" s="928"/>
      <c r="AQ42" s="928"/>
      <c r="AR42" s="928"/>
      <c r="AS42" s="928"/>
      <c r="AT42" s="928"/>
      <c r="AU42" s="928"/>
      <c r="AV42" s="928"/>
      <c r="AW42" s="928"/>
      <c r="AX42" s="928"/>
      <c r="AY42" s="928"/>
      <c r="AZ42" s="928"/>
      <c r="BA42" s="928"/>
      <c r="BB42" s="928"/>
      <c r="BC42" s="928"/>
      <c r="BD42" s="1068"/>
      <c r="BE42" s="1070"/>
      <c r="BF42" s="1060"/>
    </row>
    <row r="43" spans="37:58" x14ac:dyDescent="0.35">
      <c r="AK43" s="928"/>
      <c r="AL43" s="1060"/>
      <c r="AM43" s="928"/>
      <c r="AN43" s="928"/>
      <c r="AO43" s="928"/>
      <c r="AP43" s="928"/>
      <c r="AQ43" s="928"/>
      <c r="AR43" s="928"/>
      <c r="AS43" s="928"/>
      <c r="AT43" s="928"/>
      <c r="AU43" s="928"/>
      <c r="AV43" s="928"/>
      <c r="AW43" s="928"/>
      <c r="AX43" s="928"/>
      <c r="AY43" s="928"/>
      <c r="AZ43" s="928"/>
      <c r="BA43" s="928"/>
      <c r="BB43" s="928"/>
      <c r="BC43" s="928"/>
      <c r="BD43" s="1068"/>
      <c r="BE43" s="1070"/>
      <c r="BF43" s="1060"/>
    </row>
    <row r="44" spans="37:58" x14ac:dyDescent="0.35">
      <c r="AK44" s="928"/>
      <c r="AL44" s="1060"/>
      <c r="AM44" s="928"/>
      <c r="AN44" s="928"/>
      <c r="AO44" s="928"/>
      <c r="AP44" s="928"/>
      <c r="AQ44" s="928"/>
      <c r="AR44" s="928"/>
      <c r="AS44" s="928"/>
      <c r="AT44" s="928"/>
      <c r="AU44" s="928"/>
      <c r="AV44" s="928"/>
      <c r="AW44" s="928"/>
      <c r="AX44" s="928"/>
      <c r="AY44" s="928"/>
      <c r="AZ44" s="928"/>
      <c r="BA44" s="928"/>
      <c r="BB44" s="928"/>
      <c r="BC44" s="928"/>
      <c r="BD44" s="1068"/>
      <c r="BE44" s="1070"/>
      <c r="BF44" s="1060"/>
    </row>
    <row r="45" spans="37:58" x14ac:dyDescent="0.35">
      <c r="AK45" s="928"/>
      <c r="AL45" s="1060"/>
      <c r="AM45" s="928"/>
      <c r="AN45" s="928"/>
      <c r="AO45" s="928"/>
      <c r="AP45" s="928"/>
      <c r="AQ45" s="928"/>
      <c r="AR45" s="928"/>
      <c r="AS45" s="928"/>
      <c r="AT45" s="928"/>
      <c r="AU45" s="928"/>
      <c r="AV45" s="928"/>
      <c r="AW45" s="928"/>
      <c r="AX45" s="928"/>
      <c r="AY45" s="928"/>
      <c r="AZ45" s="928"/>
      <c r="BA45" s="928"/>
      <c r="BB45" s="928"/>
      <c r="BC45" s="928"/>
      <c r="BD45" s="1068"/>
      <c r="BE45" s="1068"/>
      <c r="BF45" s="1060"/>
    </row>
    <row r="46" spans="37:58" x14ac:dyDescent="0.35">
      <c r="AK46" s="928"/>
      <c r="AL46" s="1060"/>
      <c r="AM46" s="928"/>
      <c r="AN46" s="928"/>
      <c r="AO46" s="928"/>
      <c r="AP46" s="928"/>
      <c r="AQ46" s="928"/>
      <c r="AR46" s="928"/>
      <c r="AS46" s="928"/>
      <c r="AT46" s="928"/>
      <c r="AU46" s="928"/>
      <c r="AV46" s="928"/>
      <c r="AW46" s="928"/>
      <c r="AX46" s="928"/>
      <c r="AY46" s="928"/>
      <c r="AZ46" s="928"/>
      <c r="BA46" s="928"/>
      <c r="BB46" s="928"/>
      <c r="BC46" s="928"/>
      <c r="BD46" s="1068"/>
      <c r="BE46" s="1070"/>
      <c r="BF46" s="1060"/>
    </row>
    <row r="47" spans="37:58" x14ac:dyDescent="0.35">
      <c r="AK47" s="928"/>
      <c r="AL47" s="1060"/>
      <c r="AM47" s="928"/>
      <c r="AN47" s="928"/>
      <c r="AO47" s="928"/>
      <c r="AP47" s="928"/>
      <c r="AQ47" s="928"/>
      <c r="AR47" s="928"/>
      <c r="AS47" s="928"/>
      <c r="AT47" s="928"/>
      <c r="AU47" s="928"/>
      <c r="AV47" s="928"/>
      <c r="AW47" s="928"/>
      <c r="AX47" s="928"/>
      <c r="AY47" s="928"/>
      <c r="AZ47" s="928"/>
      <c r="BA47" s="928"/>
      <c r="BB47" s="928"/>
      <c r="BC47" s="928"/>
      <c r="BD47" s="1068"/>
      <c r="BE47" s="1068"/>
      <c r="BF47" s="1060"/>
    </row>
    <row r="48" spans="37:58" x14ac:dyDescent="0.35">
      <c r="AK48" s="928"/>
      <c r="AL48" s="1060"/>
      <c r="AM48" s="928"/>
      <c r="AN48" s="928"/>
      <c r="AO48" s="928"/>
      <c r="AP48" s="928"/>
      <c r="AQ48" s="928"/>
      <c r="AR48" s="928"/>
      <c r="AS48" s="928"/>
      <c r="AT48" s="928"/>
      <c r="AU48" s="928"/>
      <c r="AV48" s="928"/>
      <c r="AW48" s="928"/>
      <c r="AX48" s="928"/>
      <c r="AY48" s="928"/>
      <c r="AZ48" s="928"/>
      <c r="BA48" s="928"/>
      <c r="BB48" s="928"/>
      <c r="BC48" s="928"/>
      <c r="BD48" s="1068"/>
      <c r="BE48" s="1068"/>
      <c r="BF48" s="1060"/>
    </row>
    <row r="49" spans="37:58" x14ac:dyDescent="0.35">
      <c r="AK49" s="928"/>
      <c r="AL49" s="1060"/>
      <c r="AM49" s="928"/>
      <c r="AN49" s="928"/>
      <c r="AO49" s="928"/>
      <c r="AP49" s="928"/>
      <c r="AQ49" s="928"/>
      <c r="AR49" s="928"/>
      <c r="AS49" s="928"/>
      <c r="AT49" s="928"/>
      <c r="AU49" s="928"/>
      <c r="AV49" s="928"/>
      <c r="AW49" s="928"/>
      <c r="AX49" s="928"/>
      <c r="AY49" s="928"/>
      <c r="AZ49" s="928"/>
      <c r="BA49" s="928"/>
      <c r="BB49" s="928"/>
      <c r="BC49" s="928"/>
      <c r="BD49" s="928"/>
      <c r="BE49" s="928"/>
      <c r="BF49" s="1060"/>
    </row>
    <row r="50" spans="37:58" x14ac:dyDescent="0.35">
      <c r="AK50" s="928"/>
      <c r="AL50" s="1060"/>
      <c r="AM50" s="928"/>
      <c r="AN50" s="928"/>
      <c r="AO50" s="928"/>
      <c r="AP50" s="928"/>
      <c r="AQ50" s="928"/>
      <c r="AR50" s="928"/>
      <c r="AS50" s="928"/>
      <c r="AT50" s="928"/>
      <c r="AU50" s="928"/>
      <c r="AV50" s="928"/>
      <c r="AW50" s="928"/>
      <c r="AX50" s="928"/>
      <c r="AY50" s="928"/>
      <c r="AZ50" s="928"/>
      <c r="BA50" s="928"/>
      <c r="BB50" s="928"/>
      <c r="BC50" s="928"/>
      <c r="BD50" s="928"/>
      <c r="BE50" s="928"/>
      <c r="BF50" s="1060"/>
    </row>
    <row r="51" spans="37:58" x14ac:dyDescent="0.35">
      <c r="AK51" s="928"/>
      <c r="AL51" s="1060"/>
      <c r="AM51" s="928"/>
      <c r="AN51" s="928"/>
      <c r="AO51" s="928"/>
      <c r="AP51" s="928"/>
      <c r="AQ51" s="928"/>
      <c r="AR51" s="928"/>
      <c r="AS51" s="928"/>
      <c r="AT51" s="928"/>
      <c r="AU51" s="928"/>
      <c r="AV51" s="928"/>
      <c r="AW51" s="928"/>
      <c r="AX51" s="928"/>
      <c r="AY51" s="928"/>
      <c r="AZ51" s="928"/>
      <c r="BA51" s="928"/>
      <c r="BB51" s="928"/>
      <c r="BC51" s="928"/>
      <c r="BD51" s="928"/>
      <c r="BE51" s="928"/>
      <c r="BF51" s="1060"/>
    </row>
    <row r="52" spans="37:58" x14ac:dyDescent="0.35">
      <c r="AK52" s="928"/>
      <c r="AL52" s="1060"/>
      <c r="AM52" s="928"/>
      <c r="AN52" s="928"/>
      <c r="AO52" s="928"/>
      <c r="AP52" s="928"/>
      <c r="AQ52" s="928"/>
      <c r="AR52" s="928"/>
      <c r="AS52" s="928"/>
      <c r="AT52" s="928"/>
      <c r="AU52" s="928"/>
      <c r="AV52" s="928"/>
      <c r="AW52" s="928"/>
      <c r="AX52" s="928"/>
      <c r="AY52" s="928"/>
      <c r="AZ52" s="928"/>
      <c r="BA52" s="928"/>
      <c r="BB52" s="928"/>
      <c r="BC52" s="928"/>
      <c r="BD52" s="928"/>
      <c r="BE52" s="928"/>
      <c r="BF52" s="1060"/>
    </row>
    <row r="53" spans="37:58" x14ac:dyDescent="0.35">
      <c r="AK53" s="928"/>
      <c r="AL53" s="1060"/>
      <c r="AM53" s="928"/>
      <c r="AN53" s="928"/>
      <c r="AO53" s="928"/>
      <c r="AP53" s="928"/>
      <c r="AQ53" s="928"/>
      <c r="AR53" s="928"/>
      <c r="AS53" s="928"/>
      <c r="AT53" s="928"/>
      <c r="AU53" s="928"/>
      <c r="AV53" s="928"/>
      <c r="AW53" s="928"/>
      <c r="AX53" s="928"/>
      <c r="AY53" s="928"/>
      <c r="AZ53" s="928"/>
      <c r="BA53" s="928"/>
      <c r="BB53" s="928"/>
      <c r="BC53" s="928"/>
      <c r="BD53" s="928"/>
      <c r="BE53" s="928"/>
      <c r="BF53" s="1060"/>
    </row>
    <row r="54" spans="37:58" x14ac:dyDescent="0.35">
      <c r="AK54" s="928"/>
      <c r="AL54" s="1060"/>
      <c r="AM54" s="928"/>
      <c r="AN54" s="928"/>
      <c r="AO54" s="928"/>
      <c r="AP54" s="928"/>
      <c r="AQ54" s="928"/>
      <c r="AR54" s="928"/>
      <c r="AS54" s="928"/>
      <c r="AT54" s="928"/>
      <c r="AU54" s="928"/>
      <c r="AV54" s="928"/>
      <c r="AW54" s="928"/>
      <c r="AX54" s="928"/>
      <c r="AY54" s="928"/>
      <c r="AZ54" s="928"/>
      <c r="BA54" s="928"/>
      <c r="BB54" s="928"/>
      <c r="BC54" s="928"/>
      <c r="BD54" s="928"/>
      <c r="BE54" s="928"/>
      <c r="BF54" s="1060"/>
    </row>
    <row r="55" spans="37:58" x14ac:dyDescent="0.35">
      <c r="AK55" s="928"/>
      <c r="AL55" s="1060"/>
      <c r="AM55" s="928"/>
      <c r="AN55" s="928"/>
      <c r="AO55" s="928"/>
      <c r="AP55" s="928"/>
      <c r="AQ55" s="928"/>
      <c r="AR55" s="928"/>
      <c r="AS55" s="928"/>
      <c r="AT55" s="928"/>
      <c r="AU55" s="928"/>
      <c r="AV55" s="928"/>
      <c r="AW55" s="928"/>
      <c r="AX55" s="928"/>
      <c r="AY55" s="928"/>
      <c r="AZ55" s="928"/>
      <c r="BA55" s="928"/>
      <c r="BB55" s="928"/>
      <c r="BC55" s="928"/>
      <c r="BD55" s="928"/>
      <c r="BE55" s="928"/>
      <c r="BF55" s="1060"/>
    </row>
    <row r="56" spans="37:58" x14ac:dyDescent="0.35">
      <c r="AK56" s="928"/>
      <c r="AL56" s="1060"/>
      <c r="AM56" s="928"/>
      <c r="AN56" s="928"/>
      <c r="AO56" s="928"/>
      <c r="AP56" s="928"/>
      <c r="AQ56" s="928"/>
      <c r="AR56" s="928"/>
      <c r="AS56" s="928"/>
      <c r="AT56" s="928"/>
      <c r="AU56" s="928"/>
      <c r="AV56" s="928"/>
      <c r="AW56" s="928"/>
      <c r="AX56" s="928"/>
      <c r="AY56" s="928"/>
      <c r="AZ56" s="928"/>
      <c r="BA56" s="928"/>
      <c r="BB56" s="928"/>
      <c r="BC56" s="928"/>
      <c r="BD56" s="928"/>
      <c r="BE56" s="928"/>
      <c r="BF56" s="1060"/>
    </row>
    <row r="57" spans="37:58" x14ac:dyDescent="0.35">
      <c r="AK57" s="928"/>
      <c r="AL57" s="1060"/>
      <c r="AM57" s="928"/>
      <c r="AN57" s="928"/>
      <c r="AO57" s="928"/>
      <c r="AP57" s="928"/>
      <c r="AQ57" s="928"/>
      <c r="AR57" s="928"/>
      <c r="AS57" s="928"/>
      <c r="AT57" s="928"/>
      <c r="AU57" s="928"/>
      <c r="AV57" s="928"/>
      <c r="AW57" s="928"/>
      <c r="AX57" s="928"/>
      <c r="AY57" s="928"/>
      <c r="AZ57" s="928"/>
      <c r="BA57" s="928"/>
      <c r="BB57" s="928"/>
      <c r="BC57" s="928"/>
      <c r="BD57" s="928"/>
      <c r="BE57" s="928"/>
      <c r="BF57" s="1060"/>
    </row>
    <row r="58" spans="37:58" x14ac:dyDescent="0.35">
      <c r="AK58" s="928"/>
      <c r="AL58" s="1060"/>
      <c r="AM58" s="928"/>
      <c r="AN58" s="928"/>
      <c r="AO58" s="928"/>
      <c r="AP58" s="928"/>
      <c r="AQ58" s="928"/>
      <c r="AR58" s="928"/>
      <c r="AS58" s="928"/>
      <c r="AT58" s="928"/>
      <c r="AU58" s="928"/>
      <c r="AV58" s="928"/>
      <c r="AW58" s="928"/>
      <c r="AX58" s="928"/>
      <c r="AY58" s="928"/>
      <c r="AZ58" s="928"/>
      <c r="BA58" s="928"/>
      <c r="BB58" s="928"/>
      <c r="BC58" s="928"/>
      <c r="BD58" s="928"/>
      <c r="BE58" s="928"/>
      <c r="BF58" s="1060"/>
    </row>
    <row r="59" spans="37:58" x14ac:dyDescent="0.35">
      <c r="AK59" s="928"/>
      <c r="AL59" s="1060"/>
      <c r="AM59" s="928"/>
      <c r="AN59" s="928"/>
      <c r="AO59" s="928"/>
      <c r="AP59" s="928"/>
      <c r="AQ59" s="928"/>
      <c r="AR59" s="928"/>
      <c r="AS59" s="928"/>
      <c r="AT59" s="928"/>
      <c r="AU59" s="928"/>
      <c r="AV59" s="928"/>
      <c r="AW59" s="928"/>
      <c r="AX59" s="928"/>
      <c r="AY59" s="928"/>
      <c r="AZ59" s="928"/>
      <c r="BA59" s="928"/>
      <c r="BB59" s="928"/>
      <c r="BC59" s="928"/>
      <c r="BD59" s="928"/>
      <c r="BE59" s="928"/>
      <c r="BF59" s="1060"/>
    </row>
    <row r="60" spans="37:58" x14ac:dyDescent="0.35">
      <c r="AK60" s="928"/>
      <c r="AL60" s="1060"/>
      <c r="AM60" s="928"/>
      <c r="AN60" s="928"/>
      <c r="AO60" s="928"/>
      <c r="AP60" s="928"/>
      <c r="AQ60" s="928"/>
      <c r="AR60" s="928"/>
      <c r="AS60" s="928"/>
      <c r="AT60" s="928"/>
      <c r="AU60" s="928"/>
      <c r="AV60" s="928"/>
      <c r="AW60" s="928"/>
      <c r="AX60" s="928"/>
      <c r="AY60" s="928"/>
      <c r="AZ60" s="928"/>
      <c r="BA60" s="928"/>
      <c r="BB60" s="928"/>
      <c r="BC60" s="928"/>
      <c r="BD60" s="928"/>
      <c r="BE60" s="928"/>
      <c r="BF60" s="1060"/>
    </row>
    <row r="61" spans="37:58" x14ac:dyDescent="0.35">
      <c r="AK61" s="928"/>
      <c r="AL61" s="1060"/>
      <c r="AM61" s="928"/>
      <c r="AN61" s="928"/>
      <c r="AO61" s="928"/>
      <c r="AP61" s="928"/>
      <c r="AQ61" s="928"/>
      <c r="AR61" s="928"/>
      <c r="AS61" s="928"/>
      <c r="AT61" s="928"/>
      <c r="AU61" s="928"/>
      <c r="AV61" s="928"/>
      <c r="AW61" s="928"/>
      <c r="AX61" s="928"/>
      <c r="AY61" s="928"/>
      <c r="AZ61" s="928"/>
      <c r="BA61" s="928"/>
      <c r="BB61" s="928"/>
      <c r="BC61" s="928"/>
      <c r="BD61" s="928"/>
      <c r="BE61" s="928"/>
      <c r="BF61" s="1060"/>
    </row>
    <row r="62" spans="37:58" x14ac:dyDescent="0.35">
      <c r="AK62" s="928"/>
      <c r="AL62" s="1060"/>
      <c r="AM62" s="928"/>
      <c r="AN62" s="928"/>
      <c r="AO62" s="928"/>
      <c r="AP62" s="928"/>
      <c r="AQ62" s="928"/>
      <c r="AR62" s="928"/>
      <c r="AS62" s="928"/>
      <c r="AT62" s="928"/>
      <c r="AU62" s="928"/>
      <c r="AV62" s="928"/>
      <c r="AW62" s="928"/>
      <c r="AX62" s="928"/>
      <c r="AY62" s="928"/>
      <c r="AZ62" s="928"/>
      <c r="BA62" s="928"/>
      <c r="BB62" s="928"/>
      <c r="BC62" s="928"/>
      <c r="BD62" s="928"/>
      <c r="BE62" s="928"/>
      <c r="BF62" s="1060"/>
    </row>
    <row r="63" spans="37:58" x14ac:dyDescent="0.35">
      <c r="AK63" s="928"/>
      <c r="AL63" s="1060"/>
      <c r="AM63" s="928"/>
      <c r="AN63" s="928"/>
      <c r="AO63" s="928"/>
      <c r="AP63" s="928"/>
      <c r="AQ63" s="928"/>
      <c r="AR63" s="928"/>
      <c r="AS63" s="928"/>
      <c r="AT63" s="928"/>
      <c r="AU63" s="928"/>
      <c r="AV63" s="928"/>
      <c r="AW63" s="928"/>
      <c r="AX63" s="928"/>
      <c r="AY63" s="928"/>
      <c r="AZ63" s="928"/>
      <c r="BA63" s="928"/>
      <c r="BB63" s="928"/>
      <c r="BC63" s="928"/>
      <c r="BD63" s="928"/>
      <c r="BE63" s="928"/>
      <c r="BF63" s="1060"/>
    </row>
    <row r="64" spans="37:58" x14ac:dyDescent="0.35">
      <c r="AK64" s="928"/>
      <c r="AL64" s="1060"/>
      <c r="AM64" s="928"/>
      <c r="AN64" s="928"/>
      <c r="AO64" s="928"/>
      <c r="AP64" s="928"/>
      <c r="AQ64" s="928"/>
      <c r="AR64" s="928"/>
      <c r="AS64" s="928"/>
      <c r="AT64" s="928"/>
      <c r="AU64" s="928"/>
      <c r="AV64" s="928"/>
      <c r="AW64" s="928"/>
      <c r="AX64" s="928"/>
      <c r="AY64" s="928"/>
      <c r="AZ64" s="928"/>
      <c r="BA64" s="928"/>
      <c r="BB64" s="928"/>
      <c r="BC64" s="928"/>
      <c r="BD64" s="928"/>
      <c r="BE64" s="928"/>
      <c r="BF64" s="1060"/>
    </row>
    <row r="65" spans="37:58" x14ac:dyDescent="0.35">
      <c r="AK65" s="928"/>
      <c r="AL65" s="1060"/>
      <c r="AM65" s="928"/>
      <c r="AN65" s="928"/>
      <c r="AO65" s="928"/>
      <c r="AP65" s="928"/>
      <c r="AQ65" s="928"/>
      <c r="AR65" s="928"/>
      <c r="AS65" s="928"/>
      <c r="AT65" s="928"/>
      <c r="AU65" s="928"/>
      <c r="AV65" s="928"/>
      <c r="AW65" s="928"/>
      <c r="AX65" s="928"/>
      <c r="AY65" s="928"/>
      <c r="AZ65" s="928"/>
      <c r="BA65" s="928"/>
      <c r="BB65" s="928"/>
      <c r="BC65" s="928"/>
      <c r="BD65" s="928"/>
      <c r="BE65" s="928"/>
      <c r="BF65" s="1060"/>
    </row>
    <row r="66" spans="37:58" x14ac:dyDescent="0.35">
      <c r="AK66" s="928"/>
      <c r="AL66" s="1060"/>
      <c r="AM66" s="928"/>
      <c r="AN66" s="928"/>
      <c r="AO66" s="928"/>
      <c r="AP66" s="928"/>
      <c r="AQ66" s="928"/>
      <c r="AR66" s="928"/>
      <c r="AS66" s="928"/>
      <c r="AT66" s="928"/>
      <c r="AU66" s="928"/>
      <c r="AV66" s="928"/>
      <c r="AW66" s="928"/>
      <c r="AX66" s="928"/>
      <c r="AY66" s="928"/>
      <c r="AZ66" s="928"/>
      <c r="BA66" s="928"/>
      <c r="BB66" s="928"/>
      <c r="BC66" s="928"/>
      <c r="BD66" s="928"/>
      <c r="BE66" s="928"/>
      <c r="BF66" s="1060"/>
    </row>
    <row r="67" spans="37:58" x14ac:dyDescent="0.35">
      <c r="AK67" s="928"/>
      <c r="AL67" s="1060"/>
      <c r="AM67" s="928"/>
      <c r="AN67" s="928"/>
      <c r="AO67" s="928"/>
      <c r="AP67" s="928"/>
      <c r="AQ67" s="928"/>
      <c r="AR67" s="928"/>
      <c r="AS67" s="928"/>
      <c r="AT67" s="928"/>
      <c r="AU67" s="928"/>
      <c r="AV67" s="928"/>
      <c r="AW67" s="928"/>
      <c r="AX67" s="928"/>
      <c r="AY67" s="928"/>
      <c r="AZ67" s="928"/>
      <c r="BA67" s="928"/>
      <c r="BB67" s="928"/>
      <c r="BC67" s="928"/>
      <c r="BD67" s="928"/>
      <c r="BE67" s="928"/>
      <c r="BF67" s="1060"/>
    </row>
    <row r="68" spans="37:58" x14ac:dyDescent="0.35">
      <c r="AK68" s="928"/>
      <c r="AL68" s="1060"/>
      <c r="AM68" s="928"/>
      <c r="AN68" s="928"/>
      <c r="AO68" s="928"/>
      <c r="AP68" s="928"/>
      <c r="AQ68" s="928"/>
      <c r="AR68" s="928"/>
      <c r="AS68" s="928"/>
      <c r="AT68" s="928"/>
      <c r="AU68" s="928"/>
      <c r="AV68" s="928"/>
      <c r="AW68" s="928"/>
      <c r="AX68" s="928"/>
      <c r="AY68" s="928"/>
      <c r="AZ68" s="928"/>
      <c r="BA68" s="928"/>
      <c r="BB68" s="928"/>
      <c r="BC68" s="928"/>
      <c r="BD68" s="928"/>
      <c r="BE68" s="928"/>
      <c r="BF68" s="1060"/>
    </row>
    <row r="69" spans="37:58" x14ac:dyDescent="0.35">
      <c r="AK69" s="928"/>
      <c r="AL69" s="1060"/>
      <c r="AM69" s="928"/>
      <c r="AN69" s="928"/>
      <c r="AO69" s="928"/>
      <c r="AP69" s="928"/>
      <c r="AQ69" s="928"/>
      <c r="AR69" s="928"/>
      <c r="AS69" s="928"/>
      <c r="AT69" s="928"/>
      <c r="AU69" s="928"/>
      <c r="AV69" s="928"/>
      <c r="AW69" s="928"/>
      <c r="AX69" s="928"/>
      <c r="AY69" s="928"/>
      <c r="AZ69" s="928"/>
      <c r="BA69" s="928"/>
      <c r="BB69" s="928"/>
      <c r="BC69" s="928"/>
      <c r="BD69" s="928"/>
      <c r="BE69" s="928"/>
      <c r="BF69" s="1060"/>
    </row>
    <row r="70" spans="37:58" x14ac:dyDescent="0.35">
      <c r="AK70" s="928"/>
      <c r="AL70" s="1060"/>
      <c r="AM70" s="928"/>
      <c r="AN70" s="928"/>
      <c r="AO70" s="928"/>
      <c r="AP70" s="928"/>
      <c r="AQ70" s="928"/>
      <c r="AR70" s="928"/>
      <c r="AS70" s="928"/>
      <c r="AT70" s="928"/>
      <c r="AU70" s="928"/>
      <c r="AV70" s="928"/>
      <c r="AW70" s="928"/>
      <c r="AX70" s="928"/>
      <c r="AY70" s="928"/>
      <c r="AZ70" s="928"/>
      <c r="BA70" s="928"/>
      <c r="BB70" s="928"/>
      <c r="BC70" s="928"/>
      <c r="BD70" s="928"/>
      <c r="BE70" s="928"/>
      <c r="BF70" s="1060"/>
    </row>
    <row r="71" spans="37:58" x14ac:dyDescent="0.35">
      <c r="AK71" s="928"/>
      <c r="AL71" s="1060"/>
      <c r="AM71" s="928"/>
      <c r="AN71" s="928"/>
      <c r="AO71" s="928"/>
      <c r="AP71" s="928"/>
      <c r="AQ71" s="928"/>
      <c r="AR71" s="928"/>
      <c r="AS71" s="928"/>
      <c r="AT71" s="928"/>
      <c r="AU71" s="928"/>
      <c r="AV71" s="928"/>
      <c r="AW71" s="928"/>
      <c r="AX71" s="928"/>
      <c r="AY71" s="928"/>
      <c r="AZ71" s="928"/>
      <c r="BA71" s="928"/>
      <c r="BB71" s="928"/>
      <c r="BC71" s="928"/>
      <c r="BD71" s="928"/>
      <c r="BE71" s="928"/>
      <c r="BF71" s="1060"/>
    </row>
    <row r="72" spans="37:58" x14ac:dyDescent="0.35">
      <c r="AK72" s="928"/>
      <c r="AL72" s="1060"/>
      <c r="AM72" s="928"/>
      <c r="AN72" s="928"/>
      <c r="AO72" s="928"/>
      <c r="AP72" s="928"/>
      <c r="AQ72" s="928"/>
      <c r="AR72" s="928"/>
      <c r="AS72" s="928"/>
      <c r="AT72" s="928"/>
      <c r="AU72" s="928"/>
      <c r="AV72" s="928"/>
      <c r="AW72" s="928"/>
      <c r="AX72" s="928"/>
      <c r="AY72" s="928"/>
      <c r="AZ72" s="928"/>
      <c r="BA72" s="928"/>
      <c r="BB72" s="928"/>
      <c r="BC72" s="928"/>
      <c r="BD72" s="928"/>
      <c r="BE72" s="928"/>
      <c r="BF72" s="1060"/>
    </row>
    <row r="73" spans="37:58" x14ac:dyDescent="0.35">
      <c r="AK73" s="928"/>
      <c r="AL73" s="1060"/>
      <c r="AM73" s="928"/>
      <c r="AN73" s="928"/>
      <c r="AO73" s="928"/>
      <c r="AP73" s="928"/>
      <c r="AQ73" s="928"/>
      <c r="AR73" s="928"/>
      <c r="AS73" s="928"/>
      <c r="AT73" s="928"/>
      <c r="AU73" s="928"/>
      <c r="AV73" s="928"/>
      <c r="AW73" s="928"/>
      <c r="AX73" s="928"/>
      <c r="AY73" s="928"/>
      <c r="AZ73" s="928"/>
      <c r="BA73" s="928"/>
      <c r="BB73" s="928"/>
      <c r="BC73" s="928"/>
      <c r="BD73" s="928"/>
      <c r="BE73" s="928"/>
      <c r="BF73" s="1060"/>
    </row>
    <row r="74" spans="37:58" x14ac:dyDescent="0.35">
      <c r="AK74" s="928"/>
      <c r="AL74" s="1060"/>
      <c r="AM74" s="928"/>
      <c r="AN74" s="928"/>
      <c r="AO74" s="928"/>
      <c r="AP74" s="928"/>
      <c r="AQ74" s="928"/>
      <c r="AR74" s="928"/>
      <c r="AS74" s="928"/>
      <c r="AT74" s="928"/>
      <c r="AU74" s="928"/>
      <c r="AV74" s="928"/>
      <c r="AW74" s="928"/>
      <c r="AX74" s="928"/>
      <c r="AY74" s="928"/>
      <c r="AZ74" s="928"/>
      <c r="BA74" s="928"/>
      <c r="BB74" s="928"/>
      <c r="BC74" s="928"/>
      <c r="BD74" s="928"/>
      <c r="BE74" s="928"/>
      <c r="BF74" s="1060"/>
    </row>
  </sheetData>
  <sheetProtection sheet="1" objects="1" scenarios="1"/>
  <mergeCells count="128">
    <mergeCell ref="R3:R4"/>
    <mergeCell ref="R12:R13"/>
    <mergeCell ref="BK15:BK20"/>
    <mergeCell ref="BL15:BL20"/>
    <mergeCell ref="BK6:BK7"/>
    <mergeCell ref="BL6:BL7"/>
    <mergeCell ref="BK8:BK9"/>
    <mergeCell ref="BL8:BL9"/>
    <mergeCell ref="BK10:BK11"/>
    <mergeCell ref="BL10:BL11"/>
    <mergeCell ref="BK12:BK13"/>
    <mergeCell ref="BL12:BL13"/>
    <mergeCell ref="AA12:AA13"/>
    <mergeCell ref="BG12:BG13"/>
    <mergeCell ref="BH12:BH13"/>
    <mergeCell ref="AE12:AE13"/>
    <mergeCell ref="AF12:AF13"/>
    <mergeCell ref="V12:V13"/>
    <mergeCell ref="W12:W13"/>
    <mergeCell ref="X12:X13"/>
    <mergeCell ref="Y12:Y13"/>
    <mergeCell ref="Z12:Z13"/>
    <mergeCell ref="AB12:AB13"/>
    <mergeCell ref="AC12:AC13"/>
    <mergeCell ref="AD12:AD13"/>
    <mergeCell ref="Y10:Y11"/>
    <mergeCell ref="F9:N9"/>
    <mergeCell ref="B10:B11"/>
    <mergeCell ref="B8:B9"/>
    <mergeCell ref="O12:O13"/>
    <mergeCell ref="P12:P13"/>
    <mergeCell ref="Q12:Q13"/>
    <mergeCell ref="T12:T13"/>
    <mergeCell ref="S12:S13"/>
    <mergeCell ref="U12:U13"/>
    <mergeCell ref="C8:C9"/>
    <mergeCell ref="E8:E9"/>
    <mergeCell ref="O8:O9"/>
    <mergeCell ref="C10:C11"/>
    <mergeCell ref="D10:D11"/>
    <mergeCell ref="E10:E11"/>
    <mergeCell ref="O10:O11"/>
    <mergeCell ref="P10:P11"/>
    <mergeCell ref="T10:T11"/>
    <mergeCell ref="D6:D7"/>
    <mergeCell ref="E6:E7"/>
    <mergeCell ref="O6:O7"/>
    <mergeCell ref="P6:P7"/>
    <mergeCell ref="F7:N7"/>
    <mergeCell ref="T6:T7"/>
    <mergeCell ref="S6:S7"/>
    <mergeCell ref="B12:B13"/>
    <mergeCell ref="C12:C13"/>
    <mergeCell ref="D12:D13"/>
    <mergeCell ref="E12:E13"/>
    <mergeCell ref="F12:N12"/>
    <mergeCell ref="Y6:Y7"/>
    <mergeCell ref="AA3:AA4"/>
    <mergeCell ref="S10:S11"/>
    <mergeCell ref="V10:V11"/>
    <mergeCell ref="B3:B4"/>
    <mergeCell ref="D3:D4"/>
    <mergeCell ref="E3:E4"/>
    <mergeCell ref="F3:N3"/>
    <mergeCell ref="X3:X4"/>
    <mergeCell ref="Y3:Y4"/>
    <mergeCell ref="Z3:Z4"/>
    <mergeCell ref="O3:O4"/>
    <mergeCell ref="P3:P4"/>
    <mergeCell ref="Q3:Q4"/>
    <mergeCell ref="T3:T4"/>
    <mergeCell ref="S3:S4"/>
    <mergeCell ref="U3:U4"/>
    <mergeCell ref="P8:P9"/>
    <mergeCell ref="S8:S9"/>
    <mergeCell ref="V8:V9"/>
    <mergeCell ref="F11:N11"/>
    <mergeCell ref="T8:T9"/>
    <mergeCell ref="B6:B7"/>
    <mergeCell ref="C6:C7"/>
    <mergeCell ref="BG3:BG4"/>
    <mergeCell ref="BH3:BH4"/>
    <mergeCell ref="AE3:AE4"/>
    <mergeCell ref="AF3:AF4"/>
    <mergeCell ref="V3:V4"/>
    <mergeCell ref="W3:W4"/>
    <mergeCell ref="AJ6:AJ7"/>
    <mergeCell ref="Z10:Z11"/>
    <mergeCell ref="AC6:AC7"/>
    <mergeCell ref="AD6:AD7"/>
    <mergeCell ref="AC8:AC9"/>
    <mergeCell ref="AD8:AD9"/>
    <mergeCell ref="AC10:AC11"/>
    <mergeCell ref="AD10:AD11"/>
    <mergeCell ref="Y8:Y9"/>
    <mergeCell ref="AI8:AI9"/>
    <mergeCell ref="Z8:Z9"/>
    <mergeCell ref="AI3:AI4"/>
    <mergeCell ref="AI6:AI7"/>
    <mergeCell ref="Z6:Z7"/>
    <mergeCell ref="AF6:AF7"/>
    <mergeCell ref="AF10:AF11"/>
    <mergeCell ref="AF8:AF9"/>
    <mergeCell ref="V6:V7"/>
    <mergeCell ref="BI10:BI11"/>
    <mergeCell ref="BI8:BI9"/>
    <mergeCell ref="BI6:BI7"/>
    <mergeCell ref="B1:AF1"/>
    <mergeCell ref="AI1:BH1"/>
    <mergeCell ref="F2:N2"/>
    <mergeCell ref="F19:N19"/>
    <mergeCell ref="A6:A7"/>
    <mergeCell ref="A8:A9"/>
    <mergeCell ref="A10:A11"/>
    <mergeCell ref="AG6:AG7"/>
    <mergeCell ref="AH6:AH7"/>
    <mergeCell ref="AG8:AG9"/>
    <mergeCell ref="AH8:AH9"/>
    <mergeCell ref="AG10:AG11"/>
    <mergeCell ref="AH10:AH11"/>
    <mergeCell ref="AJ8:AJ9"/>
    <mergeCell ref="AI10:AI11"/>
    <mergeCell ref="AJ10:AJ11"/>
    <mergeCell ref="AI12:AI13"/>
    <mergeCell ref="AJ12:AJ13"/>
    <mergeCell ref="AB3:AB4"/>
    <mergeCell ref="AC3:AC4"/>
    <mergeCell ref="AD3:AD4"/>
  </mergeCells>
  <conditionalFormatting sqref="E6 E8 E10">
    <cfRule type="containsText" dxfId="344" priority="7" operator="containsText" text="Critical">
      <formula>NOT(ISERROR(SEARCH("Critical",E6)))</formula>
    </cfRule>
    <cfRule type="containsText" dxfId="343" priority="8" operator="containsText" text="Essential">
      <formula>NOT(ISERROR(SEARCH("Essential",E6)))</formula>
    </cfRule>
    <cfRule type="containsText" dxfId="342" priority="9" operator="containsText" text="Desirable">
      <formula>NOT(ISERROR(SEARCH("Desirable",E6)))</formula>
    </cfRule>
  </conditionalFormatting>
  <conditionalFormatting sqref="E6">
    <cfRule type="containsText" dxfId="341" priority="6" operator="containsText" text="Required">
      <formula>NOT(ISERROR(SEARCH("Required",E6)))</formula>
    </cfRule>
  </conditionalFormatting>
  <conditionalFormatting sqref="E8 E10">
    <cfRule type="containsText" dxfId="340" priority="5" operator="containsText" text="Required">
      <formula>NOT(ISERROR(SEARCH("Required",E8)))</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colBreaks count="1" manualBreakCount="1">
    <brk id="33" max="1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DJ46"/>
  <sheetViews>
    <sheetView showGridLines="0" zoomScaleNormal="100" workbookViewId="0">
      <pane xSplit="3" ySplit="1" topLeftCell="D14" activePane="bottomRight" state="frozen"/>
      <selection pane="topRight" activeCell="U1" sqref="U1:X1048576"/>
      <selection pane="bottomLeft" activeCell="U1" sqref="U1:X1048576"/>
      <selection pane="bottomRight" activeCell="H5" sqref="H5"/>
    </sheetView>
  </sheetViews>
  <sheetFormatPr defaultColWidth="8.90625" defaultRowHeight="14.5" outlineLevelCol="1" x14ac:dyDescent="0.35"/>
  <cols>
    <col min="1" max="1" width="8.90625" style="356" customWidth="1"/>
    <col min="2" max="2" width="8.90625" style="397" customWidth="1"/>
    <col min="3" max="3" width="44.453125" style="356" customWidth="1"/>
    <col min="4" max="4" width="11.08984375" style="356" customWidth="1"/>
    <col min="5" max="6" width="22.08984375" style="356" customWidth="1"/>
    <col min="7" max="7" width="16.90625" style="356" customWidth="1"/>
    <col min="8" max="8" width="33.08984375" style="356" customWidth="1"/>
    <col min="9" max="11" width="16.90625" style="356" customWidth="1"/>
    <col min="12" max="12" width="33.08984375" style="356" customWidth="1"/>
    <col min="13" max="13" width="16.90625" style="356" customWidth="1"/>
    <col min="14" max="14" width="11.08984375" style="356" customWidth="1"/>
    <col min="15" max="20" width="7.90625" style="356" customWidth="1"/>
    <col min="21" max="26" width="7.90625" style="356" hidden="1" customWidth="1" outlineLevel="1"/>
    <col min="27" max="27" width="55.54296875" style="356" customWidth="1" collapsed="1"/>
    <col min="28" max="28" width="22.08984375" style="356" hidden="1" customWidth="1" outlineLevel="1"/>
    <col min="29" max="29" width="33.08984375" style="356" hidden="1" customWidth="1" outlineLevel="1"/>
    <col min="30" max="30" width="12.08984375" style="356" hidden="1" customWidth="1" outlineLevel="1"/>
    <col min="31" max="31" width="33.08984375" style="356" hidden="1" customWidth="1" outlineLevel="1"/>
    <col min="32" max="32" width="11.08984375" style="356" customWidth="1" collapsed="1"/>
    <col min="33" max="33" width="20" style="356" customWidth="1"/>
    <col min="34" max="61" width="16.90625" style="356" customWidth="1"/>
    <col min="62" max="64" width="15.453125" style="356" customWidth="1"/>
    <col min="65" max="65" width="8.90625" style="289"/>
    <col min="66" max="113" width="16.90625" style="289" hidden="1" customWidth="1" outlineLevel="1"/>
    <col min="114" max="114" width="8.90625" style="356" collapsed="1"/>
    <col min="115" max="16384" width="8.90625" style="356"/>
  </cols>
  <sheetData>
    <row r="1" spans="1:113" s="348" customFormat="1" ht="84" customHeight="1" x14ac:dyDescent="0.3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06"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287"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86.4" customHeight="1" x14ac:dyDescent="0.3">
      <c r="A2" s="55" t="s">
        <v>1336</v>
      </c>
      <c r="B2" s="90"/>
      <c r="C2" s="1" t="s">
        <v>1337</v>
      </c>
      <c r="D2" s="265" t="s">
        <v>297</v>
      </c>
      <c r="E2" s="1" t="s">
        <v>1338</v>
      </c>
      <c r="F2" s="94" t="s">
        <v>1339</v>
      </c>
      <c r="G2" s="113">
        <v>3720175</v>
      </c>
      <c r="H2" s="196" t="s">
        <v>235</v>
      </c>
      <c r="I2" s="48">
        <v>0</v>
      </c>
      <c r="J2" s="48">
        <f>G2</f>
        <v>3720175</v>
      </c>
      <c r="K2" s="118">
        <f>J2</f>
        <v>3720175</v>
      </c>
      <c r="L2" s="114" t="s">
        <v>1340</v>
      </c>
      <c r="M2" s="129">
        <f>J2-K2</f>
        <v>0</v>
      </c>
      <c r="N2" s="100" t="s">
        <v>402</v>
      </c>
      <c r="O2" s="26"/>
      <c r="P2" s="98"/>
      <c r="Q2" s="98"/>
      <c r="R2" s="26"/>
      <c r="S2" s="26"/>
      <c r="T2" s="170"/>
      <c r="U2" s="242">
        <f>[1]Phasing!D35</f>
        <v>0.22388059701492538</v>
      </c>
      <c r="V2" s="242">
        <f>[1]Phasing!E35</f>
        <v>0.41791044776119401</v>
      </c>
      <c r="W2" s="242">
        <f>[1]Phasing!F35</f>
        <v>0.35820895522388058</v>
      </c>
      <c r="X2" s="243">
        <f>[1]Phasing!G35</f>
        <v>0</v>
      </c>
      <c r="Y2" s="243">
        <f>[1]Phasing!H35</f>
        <v>0</v>
      </c>
      <c r="Z2" s="244">
        <f>[1]Phasing!I35</f>
        <v>0</v>
      </c>
      <c r="AA2" s="96" t="s">
        <v>1341</v>
      </c>
      <c r="AB2" s="1"/>
      <c r="AC2" s="1" t="s">
        <v>1342</v>
      </c>
      <c r="AD2" s="274" t="s">
        <v>241</v>
      </c>
      <c r="AE2" s="1"/>
      <c r="AF2" s="97" t="s">
        <v>242</v>
      </c>
      <c r="AG2" s="94" t="s">
        <v>252</v>
      </c>
      <c r="AH2" s="163">
        <f>$K$2*'[1]Apportionment %'!C19</f>
        <v>832875</v>
      </c>
      <c r="AI2" s="88">
        <f>$K$2*'[1]Apportionment %'!D19</f>
        <v>2887300</v>
      </c>
      <c r="AJ2" s="8"/>
      <c r="AK2" s="8"/>
      <c r="AL2" s="8"/>
      <c r="AM2" s="8"/>
      <c r="AN2" s="8"/>
      <c r="AO2" s="8"/>
      <c r="AP2" s="8"/>
      <c r="AQ2" s="8"/>
      <c r="AR2" s="8"/>
      <c r="AS2" s="8"/>
      <c r="AT2" s="8"/>
      <c r="AU2" s="8"/>
      <c r="AV2" s="8"/>
      <c r="AW2" s="8"/>
      <c r="AX2" s="8"/>
      <c r="AY2" s="8"/>
      <c r="AZ2" s="8"/>
      <c r="BA2" s="8"/>
      <c r="BB2" s="8"/>
      <c r="BC2" s="8"/>
      <c r="BD2" s="8"/>
      <c r="BE2" s="8"/>
      <c r="BF2" s="8"/>
      <c r="BG2" s="8"/>
      <c r="BH2" s="8"/>
      <c r="BI2" s="8"/>
      <c r="BJ2" s="8"/>
      <c r="BK2" s="288" t="b">
        <f t="shared" ref="BK2:BK15" si="0">K2=SUM(AH2:BJ2)</f>
        <v>1</v>
      </c>
      <c r="BM2" s="356"/>
      <c r="BN2" s="360">
        <f>$U2*AH2</f>
        <v>186464.55223880598</v>
      </c>
      <c r="BO2" s="360">
        <f>$V2*AH2</f>
        <v>348067.16417910444</v>
      </c>
      <c r="BP2" s="360">
        <f>$W2*AH2</f>
        <v>298343.28358208953</v>
      </c>
      <c r="BQ2" s="360">
        <f>$X2*AH2</f>
        <v>0</v>
      </c>
      <c r="BR2" s="360">
        <f>$Y2*AH2</f>
        <v>0</v>
      </c>
      <c r="BS2" s="360">
        <f>$Z2*AH2</f>
        <v>0</v>
      </c>
      <c r="BT2" s="360">
        <f>$U2*AI2</f>
        <v>646410.44776119408</v>
      </c>
      <c r="BU2" s="360">
        <f>$V2*AI2</f>
        <v>1206632.8358208954</v>
      </c>
      <c r="BV2" s="360">
        <f>$W2*AI2</f>
        <v>1034256.7164179104</v>
      </c>
      <c r="BW2" s="360">
        <f>$X2*AI2</f>
        <v>0</v>
      </c>
      <c r="BX2" s="360">
        <f>$Y2*AI2</f>
        <v>0</v>
      </c>
      <c r="BY2" s="360">
        <f>$Z2*AI2</f>
        <v>0</v>
      </c>
      <c r="BZ2" s="360">
        <f>$U2*AJ2</f>
        <v>0</v>
      </c>
      <c r="CA2" s="360">
        <f>$V2*AJ2</f>
        <v>0</v>
      </c>
      <c r="CB2" s="360">
        <f>$W2*AJ2</f>
        <v>0</v>
      </c>
      <c r="CC2" s="360">
        <f>$X2*AJ2</f>
        <v>0</v>
      </c>
      <c r="CD2" s="360">
        <f>$Y2*AJ2</f>
        <v>0</v>
      </c>
      <c r="CE2" s="360">
        <f>$Z2*AJ2</f>
        <v>0</v>
      </c>
      <c r="CF2" s="360">
        <f>$U2*AK2</f>
        <v>0</v>
      </c>
      <c r="CG2" s="360">
        <f>$V2*AK2</f>
        <v>0</v>
      </c>
      <c r="CH2" s="360">
        <f>$W2*AK2</f>
        <v>0</v>
      </c>
      <c r="CI2" s="360">
        <f>$X2*AK2</f>
        <v>0</v>
      </c>
      <c r="CJ2" s="360">
        <f>$Y2*AK2</f>
        <v>0</v>
      </c>
      <c r="CK2" s="360">
        <f>$Z2*AK2</f>
        <v>0</v>
      </c>
      <c r="CL2" s="360">
        <f>$U2*AL2</f>
        <v>0</v>
      </c>
      <c r="CM2" s="360">
        <f>$V2*AL2</f>
        <v>0</v>
      </c>
      <c r="CN2" s="360">
        <f>$W2*AL2</f>
        <v>0</v>
      </c>
      <c r="CO2" s="360">
        <f>$X2*AL2</f>
        <v>0</v>
      </c>
      <c r="CP2" s="360">
        <f>$Y2*AL2</f>
        <v>0</v>
      </c>
      <c r="CQ2" s="360">
        <f>$Z2*AL2</f>
        <v>0</v>
      </c>
      <c r="CR2" s="360">
        <f>$U2*AM2</f>
        <v>0</v>
      </c>
      <c r="CS2" s="360">
        <f>$V2*AM2</f>
        <v>0</v>
      </c>
      <c r="CT2" s="360">
        <f>$W2*AM2</f>
        <v>0</v>
      </c>
      <c r="CU2" s="360">
        <f>$X2*AM2</f>
        <v>0</v>
      </c>
      <c r="CV2" s="360">
        <f>$Y2*AM2</f>
        <v>0</v>
      </c>
      <c r="CW2" s="360">
        <f>$Z2*AM2</f>
        <v>0</v>
      </c>
      <c r="CX2" s="360">
        <f>$U2*AN2</f>
        <v>0</v>
      </c>
      <c r="CY2" s="360">
        <f>$V2*AN2</f>
        <v>0</v>
      </c>
      <c r="CZ2" s="360">
        <f>$W2*AN2</f>
        <v>0</v>
      </c>
      <c r="DA2" s="360">
        <f>$X2*AN2</f>
        <v>0</v>
      </c>
      <c r="DB2" s="360">
        <f>$Y2*AN2</f>
        <v>0</v>
      </c>
      <c r="DC2" s="360">
        <f>$Z2*AN2</f>
        <v>0</v>
      </c>
      <c r="DD2" s="360">
        <f>$U2*AO2</f>
        <v>0</v>
      </c>
      <c r="DE2" s="360">
        <f>$V2*AO2</f>
        <v>0</v>
      </c>
      <c r="DF2" s="360">
        <f>$W2*AO2</f>
        <v>0</v>
      </c>
      <c r="DG2" s="360">
        <f>$X2*AO2</f>
        <v>0</v>
      </c>
      <c r="DH2" s="360">
        <f>$Y2*AO2</f>
        <v>0</v>
      </c>
      <c r="DI2" s="360">
        <f>$Z2*AO2</f>
        <v>0</v>
      </c>
    </row>
    <row r="3" spans="1:113" ht="84" x14ac:dyDescent="0.3">
      <c r="A3" s="55" t="s">
        <v>1343</v>
      </c>
      <c r="B3" s="90"/>
      <c r="C3" s="1" t="s">
        <v>1344</v>
      </c>
      <c r="D3" s="265" t="s">
        <v>297</v>
      </c>
      <c r="E3" s="1" t="s">
        <v>1345</v>
      </c>
      <c r="F3" s="94" t="s">
        <v>1339</v>
      </c>
      <c r="G3" s="113">
        <v>1110500</v>
      </c>
      <c r="H3" s="196" t="s">
        <v>235</v>
      </c>
      <c r="I3" s="48">
        <v>0</v>
      </c>
      <c r="J3" s="48">
        <f t="shared" ref="J3:J11" si="1">G3</f>
        <v>1110500</v>
      </c>
      <c r="K3" s="118">
        <f t="shared" ref="K3:K10" si="2">J3</f>
        <v>1110500</v>
      </c>
      <c r="L3" s="114" t="s">
        <v>1340</v>
      </c>
      <c r="M3" s="129">
        <f t="shared" ref="M3:M10" si="3">J3-K3</f>
        <v>0</v>
      </c>
      <c r="N3" s="100" t="s">
        <v>402</v>
      </c>
      <c r="O3" s="98"/>
      <c r="P3" s="98"/>
      <c r="Q3" s="98"/>
      <c r="R3" s="9"/>
      <c r="S3" s="9"/>
      <c r="T3" s="103"/>
      <c r="U3" s="242">
        <f>[1]Phasing!D24</f>
        <v>4.7619047619047616E-2</v>
      </c>
      <c r="V3" s="242">
        <f>[1]Phasing!E24</f>
        <v>0.47619047619047616</v>
      </c>
      <c r="W3" s="242">
        <f>[1]Phasing!F24</f>
        <v>0.47619047619047616</v>
      </c>
      <c r="X3" s="245">
        <f>[1]Phasing!G24</f>
        <v>0</v>
      </c>
      <c r="Y3" s="245">
        <f>[1]Phasing!H24</f>
        <v>0</v>
      </c>
      <c r="Z3" s="246">
        <f>[1]Phasing!I24</f>
        <v>0</v>
      </c>
      <c r="AA3" s="96" t="s">
        <v>1346</v>
      </c>
      <c r="AB3" s="1"/>
      <c r="AC3" s="1" t="s">
        <v>1342</v>
      </c>
      <c r="AD3" s="274" t="s">
        <v>241</v>
      </c>
      <c r="AE3" s="1"/>
      <c r="AF3" s="97" t="s">
        <v>242</v>
      </c>
      <c r="AG3" s="94" t="s">
        <v>252</v>
      </c>
      <c r="AH3" s="132"/>
      <c r="AI3" s="8"/>
      <c r="AJ3" s="87">
        <f>K3</f>
        <v>1110500</v>
      </c>
      <c r="AK3" s="8"/>
      <c r="AL3" s="8"/>
      <c r="AM3" s="8"/>
      <c r="AN3" s="8"/>
      <c r="AO3" s="8"/>
      <c r="AP3" s="8"/>
      <c r="AQ3" s="8"/>
      <c r="AR3" s="8"/>
      <c r="AS3" s="8"/>
      <c r="AT3" s="8"/>
      <c r="AU3" s="8"/>
      <c r="AV3" s="8"/>
      <c r="AW3" s="8"/>
      <c r="AX3" s="8"/>
      <c r="AY3" s="8"/>
      <c r="AZ3" s="8"/>
      <c r="BA3" s="8"/>
      <c r="BB3" s="8"/>
      <c r="BC3" s="8"/>
      <c r="BD3" s="8"/>
      <c r="BE3" s="8"/>
      <c r="BF3" s="8"/>
      <c r="BG3" s="8"/>
      <c r="BH3" s="8"/>
      <c r="BI3" s="8"/>
      <c r="BJ3" s="8"/>
      <c r="BK3" s="288" t="b">
        <f t="shared" si="0"/>
        <v>1</v>
      </c>
      <c r="BM3" s="356"/>
      <c r="BN3" s="360">
        <f t="shared" ref="BN3:BN15" si="4">$U3*AH3</f>
        <v>0</v>
      </c>
      <c r="BO3" s="360">
        <f t="shared" ref="BO3:BO15" si="5">$V3*AH3</f>
        <v>0</v>
      </c>
      <c r="BP3" s="360">
        <f t="shared" ref="BP3:BP15" si="6">$W3*AH3</f>
        <v>0</v>
      </c>
      <c r="BQ3" s="360">
        <f t="shared" ref="BQ3:BQ15" si="7">$X3*AH3</f>
        <v>0</v>
      </c>
      <c r="BR3" s="360">
        <f t="shared" ref="BR3:BR15" si="8">$Y3*AH3</f>
        <v>0</v>
      </c>
      <c r="BS3" s="360">
        <f t="shared" ref="BS3:BS15" si="9">$Z3*AH3</f>
        <v>0</v>
      </c>
      <c r="BT3" s="360">
        <f t="shared" ref="BT3:BT15" si="10">$U3*AI3</f>
        <v>0</v>
      </c>
      <c r="BU3" s="360">
        <f t="shared" ref="BU3:BU15" si="11">$V3*AI3</f>
        <v>0</v>
      </c>
      <c r="BV3" s="360">
        <f t="shared" ref="BV3:BV15" si="12">$W3*AI3</f>
        <v>0</v>
      </c>
      <c r="BW3" s="360">
        <f t="shared" ref="BW3:BW15" si="13">$X3*AI3</f>
        <v>0</v>
      </c>
      <c r="BX3" s="360">
        <f t="shared" ref="BX3:BX15" si="14">$Y3*AI3</f>
        <v>0</v>
      </c>
      <c r="BY3" s="360">
        <f t="shared" ref="BY3:BY15" si="15">$Z3*AI3</f>
        <v>0</v>
      </c>
      <c r="BZ3" s="360">
        <f t="shared" ref="BZ3:BZ15" si="16">$U3*AJ3</f>
        <v>52880.952380952382</v>
      </c>
      <c r="CA3" s="360">
        <f t="shared" ref="CA3:CA15" si="17">$V3*AJ3</f>
        <v>528809.52380952379</v>
      </c>
      <c r="CB3" s="360">
        <f t="shared" ref="CB3:CB15" si="18">$W3*AJ3</f>
        <v>528809.52380952379</v>
      </c>
      <c r="CC3" s="360">
        <f t="shared" ref="CC3:CC15" si="19">$X3*AJ3</f>
        <v>0</v>
      </c>
      <c r="CD3" s="360">
        <f t="shared" ref="CD3:CD15" si="20">$Y3*AJ3</f>
        <v>0</v>
      </c>
      <c r="CE3" s="360">
        <f t="shared" ref="CE3:CE15" si="21">$Z3*AJ3</f>
        <v>0</v>
      </c>
      <c r="CF3" s="360">
        <f t="shared" ref="CF3:CF15" si="22">$U3*AK3</f>
        <v>0</v>
      </c>
      <c r="CG3" s="360">
        <f t="shared" ref="CG3:CG15" si="23">$V3*AK3</f>
        <v>0</v>
      </c>
      <c r="CH3" s="360">
        <f t="shared" ref="CH3:CH15" si="24">$W3*AK3</f>
        <v>0</v>
      </c>
      <c r="CI3" s="360">
        <f t="shared" ref="CI3:CI15" si="25">$X3*AK3</f>
        <v>0</v>
      </c>
      <c r="CJ3" s="360">
        <f t="shared" ref="CJ3:CJ15" si="26">$Y3*AK3</f>
        <v>0</v>
      </c>
      <c r="CK3" s="360">
        <f t="shared" ref="CK3:CK15" si="27">$Z3*AK3</f>
        <v>0</v>
      </c>
      <c r="CL3" s="360">
        <f t="shared" ref="CL3:CL15" si="28">$U3*AL3</f>
        <v>0</v>
      </c>
      <c r="CM3" s="360">
        <f t="shared" ref="CM3:CM15" si="29">$V3*AL3</f>
        <v>0</v>
      </c>
      <c r="CN3" s="360">
        <f t="shared" ref="CN3:CN15" si="30">$W3*AL3</f>
        <v>0</v>
      </c>
      <c r="CO3" s="360">
        <f t="shared" ref="CO3:CO15" si="31">$X3*AL3</f>
        <v>0</v>
      </c>
      <c r="CP3" s="360">
        <f t="shared" ref="CP3:CP15" si="32">$Y3*AL3</f>
        <v>0</v>
      </c>
      <c r="CQ3" s="360">
        <f t="shared" ref="CQ3:CQ15" si="33">$Z3*AL3</f>
        <v>0</v>
      </c>
      <c r="CR3" s="360">
        <f t="shared" ref="CR3:CR15" si="34">$U3*AM3</f>
        <v>0</v>
      </c>
      <c r="CS3" s="360">
        <f t="shared" ref="CS3:CS15" si="35">$V3*AM3</f>
        <v>0</v>
      </c>
      <c r="CT3" s="360">
        <f t="shared" ref="CT3:CT15" si="36">$W3*AM3</f>
        <v>0</v>
      </c>
      <c r="CU3" s="360">
        <f t="shared" ref="CU3:CU15" si="37">$X3*AM3</f>
        <v>0</v>
      </c>
      <c r="CV3" s="360">
        <f t="shared" ref="CV3:CV15" si="38">$Y3*AM3</f>
        <v>0</v>
      </c>
      <c r="CW3" s="360">
        <f t="shared" ref="CW3:CW15" si="39">$Z3*AM3</f>
        <v>0</v>
      </c>
      <c r="CX3" s="360">
        <f t="shared" ref="CX3:CX15" si="40">$U3*AN3</f>
        <v>0</v>
      </c>
      <c r="CY3" s="360">
        <f t="shared" ref="CY3:CY15" si="41">$V3*AN3</f>
        <v>0</v>
      </c>
      <c r="CZ3" s="360">
        <f t="shared" ref="CZ3:CZ15" si="42">$W3*AN3</f>
        <v>0</v>
      </c>
      <c r="DA3" s="360">
        <f t="shared" ref="DA3:DA15" si="43">$X3*AN3</f>
        <v>0</v>
      </c>
      <c r="DB3" s="360">
        <f t="shared" ref="DB3:DB15" si="44">$Y3*AN3</f>
        <v>0</v>
      </c>
      <c r="DC3" s="360">
        <f t="shared" ref="DC3:DC15" si="45">$Z3*AN3</f>
        <v>0</v>
      </c>
      <c r="DD3" s="360">
        <f t="shared" ref="DD3:DD15" si="46">$U3*AO3</f>
        <v>0</v>
      </c>
      <c r="DE3" s="360">
        <f t="shared" ref="DE3:DE15" si="47">$V3*AO3</f>
        <v>0</v>
      </c>
      <c r="DF3" s="360">
        <f t="shared" ref="DF3:DF15" si="48">$W3*AO3</f>
        <v>0</v>
      </c>
      <c r="DG3" s="360">
        <f t="shared" ref="DG3:DG15" si="49">$X3*AO3</f>
        <v>0</v>
      </c>
      <c r="DH3" s="360">
        <f t="shared" ref="DH3:DH15" si="50">$Y3*AO3</f>
        <v>0</v>
      </c>
      <c r="DI3" s="360">
        <f t="shared" ref="DI3:DI15" si="51">$Z3*AO3</f>
        <v>0</v>
      </c>
    </row>
    <row r="4" spans="1:113" ht="84" x14ac:dyDescent="0.3">
      <c r="A4" s="55" t="s">
        <v>1347</v>
      </c>
      <c r="B4" s="90"/>
      <c r="C4" s="1" t="s">
        <v>1348</v>
      </c>
      <c r="D4" s="265" t="s">
        <v>297</v>
      </c>
      <c r="E4" s="1" t="s">
        <v>1345</v>
      </c>
      <c r="F4" s="94" t="s">
        <v>1339</v>
      </c>
      <c r="G4" s="113">
        <v>2221000</v>
      </c>
      <c r="H4" s="196" t="s">
        <v>235</v>
      </c>
      <c r="I4" s="48">
        <v>0</v>
      </c>
      <c r="J4" s="48">
        <f>G4</f>
        <v>2221000</v>
      </c>
      <c r="K4" s="118">
        <f t="shared" si="2"/>
        <v>2221000</v>
      </c>
      <c r="L4" s="114" t="s">
        <v>1340</v>
      </c>
      <c r="M4" s="129">
        <f t="shared" si="3"/>
        <v>0</v>
      </c>
      <c r="N4" s="100" t="s">
        <v>402</v>
      </c>
      <c r="O4" s="98"/>
      <c r="P4" s="98"/>
      <c r="Q4" s="98"/>
      <c r="R4" s="9"/>
      <c r="S4" s="9"/>
      <c r="T4" s="103"/>
      <c r="U4" s="242">
        <f>[1]Phasing!D27</f>
        <v>4.7619047619047616E-2</v>
      </c>
      <c r="V4" s="242">
        <f>[1]Phasing!E27</f>
        <v>0.47619047619047616</v>
      </c>
      <c r="W4" s="242">
        <f>[1]Phasing!F27</f>
        <v>0.47619047619047616</v>
      </c>
      <c r="X4" s="245">
        <f>[1]Phasing!G27</f>
        <v>0</v>
      </c>
      <c r="Y4" s="245">
        <f>[1]Phasing!H27</f>
        <v>0</v>
      </c>
      <c r="Z4" s="246">
        <f>[1]Phasing!I27</f>
        <v>0</v>
      </c>
      <c r="AA4" s="96" t="s">
        <v>1346</v>
      </c>
      <c r="AB4" s="1"/>
      <c r="AC4" s="1" t="s">
        <v>1342</v>
      </c>
      <c r="AD4" s="274" t="s">
        <v>241</v>
      </c>
      <c r="AE4" s="1"/>
      <c r="AF4" s="97" t="s">
        <v>242</v>
      </c>
      <c r="AG4" s="94" t="s">
        <v>252</v>
      </c>
      <c r="AH4" s="132"/>
      <c r="AI4" s="8"/>
      <c r="AJ4" s="8"/>
      <c r="AK4" s="87">
        <f>$K$4*'[1]Apportionment %'!F5</f>
        <v>838328.81197380729</v>
      </c>
      <c r="AL4" s="87">
        <f>$K$4*'[1]Apportionment %'!G5</f>
        <v>1382671.1880261928</v>
      </c>
      <c r="AM4" s="8"/>
      <c r="AN4" s="8"/>
      <c r="AO4" s="8"/>
      <c r="AP4" s="8"/>
      <c r="AQ4" s="8"/>
      <c r="AR4" s="8"/>
      <c r="AS4" s="8"/>
      <c r="AT4" s="8"/>
      <c r="AU4" s="8"/>
      <c r="AV4" s="8"/>
      <c r="AW4" s="8"/>
      <c r="AX4" s="8"/>
      <c r="AY4" s="8"/>
      <c r="AZ4" s="8"/>
      <c r="BA4" s="8"/>
      <c r="BB4" s="8"/>
      <c r="BC4" s="8"/>
      <c r="BD4" s="8"/>
      <c r="BE4" s="8"/>
      <c r="BF4" s="8"/>
      <c r="BG4" s="8"/>
      <c r="BH4" s="8"/>
      <c r="BI4" s="8"/>
      <c r="BJ4" s="8"/>
      <c r="BK4" s="288" t="b">
        <f t="shared" si="0"/>
        <v>1</v>
      </c>
      <c r="BM4" s="356"/>
      <c r="BN4" s="360">
        <f t="shared" si="4"/>
        <v>0</v>
      </c>
      <c r="BO4" s="360">
        <f t="shared" si="5"/>
        <v>0</v>
      </c>
      <c r="BP4" s="360">
        <f t="shared" si="6"/>
        <v>0</v>
      </c>
      <c r="BQ4" s="360">
        <f t="shared" si="7"/>
        <v>0</v>
      </c>
      <c r="BR4" s="360">
        <f t="shared" si="8"/>
        <v>0</v>
      </c>
      <c r="BS4" s="360">
        <f t="shared" si="9"/>
        <v>0</v>
      </c>
      <c r="BT4" s="360">
        <f t="shared" si="10"/>
        <v>0</v>
      </c>
      <c r="BU4" s="360">
        <f t="shared" si="11"/>
        <v>0</v>
      </c>
      <c r="BV4" s="360">
        <f t="shared" si="12"/>
        <v>0</v>
      </c>
      <c r="BW4" s="360">
        <f t="shared" si="13"/>
        <v>0</v>
      </c>
      <c r="BX4" s="360">
        <f t="shared" si="14"/>
        <v>0</v>
      </c>
      <c r="BY4" s="360">
        <f t="shared" si="15"/>
        <v>0</v>
      </c>
      <c r="BZ4" s="360">
        <f t="shared" si="16"/>
        <v>0</v>
      </c>
      <c r="CA4" s="360">
        <f t="shared" si="17"/>
        <v>0</v>
      </c>
      <c r="CB4" s="360">
        <f t="shared" si="18"/>
        <v>0</v>
      </c>
      <c r="CC4" s="360">
        <f t="shared" si="19"/>
        <v>0</v>
      </c>
      <c r="CD4" s="360">
        <f t="shared" si="20"/>
        <v>0</v>
      </c>
      <c r="CE4" s="360">
        <f t="shared" si="21"/>
        <v>0</v>
      </c>
      <c r="CF4" s="360">
        <f t="shared" si="22"/>
        <v>39920.419617800348</v>
      </c>
      <c r="CG4" s="360">
        <f t="shared" si="23"/>
        <v>399204.19617800345</v>
      </c>
      <c r="CH4" s="360">
        <f t="shared" si="24"/>
        <v>399204.19617800345</v>
      </c>
      <c r="CI4" s="360">
        <f t="shared" si="25"/>
        <v>0</v>
      </c>
      <c r="CJ4" s="360">
        <f t="shared" si="26"/>
        <v>0</v>
      </c>
      <c r="CK4" s="360">
        <f t="shared" si="27"/>
        <v>0</v>
      </c>
      <c r="CL4" s="360">
        <f t="shared" si="28"/>
        <v>65841.485144104416</v>
      </c>
      <c r="CM4" s="360">
        <f t="shared" si="29"/>
        <v>658414.85144104413</v>
      </c>
      <c r="CN4" s="360">
        <f t="shared" si="30"/>
        <v>658414.85144104413</v>
      </c>
      <c r="CO4" s="360">
        <f t="shared" si="31"/>
        <v>0</v>
      </c>
      <c r="CP4" s="360">
        <f t="shared" si="32"/>
        <v>0</v>
      </c>
      <c r="CQ4" s="360">
        <f t="shared" si="33"/>
        <v>0</v>
      </c>
      <c r="CR4" s="360">
        <f t="shared" si="34"/>
        <v>0</v>
      </c>
      <c r="CS4" s="360">
        <f t="shared" si="35"/>
        <v>0</v>
      </c>
      <c r="CT4" s="360">
        <f t="shared" si="36"/>
        <v>0</v>
      </c>
      <c r="CU4" s="360">
        <f t="shared" si="37"/>
        <v>0</v>
      </c>
      <c r="CV4" s="360">
        <f t="shared" si="38"/>
        <v>0</v>
      </c>
      <c r="CW4" s="360">
        <f t="shared" si="39"/>
        <v>0</v>
      </c>
      <c r="CX4" s="360">
        <f t="shared" si="40"/>
        <v>0</v>
      </c>
      <c r="CY4" s="360">
        <f t="shared" si="41"/>
        <v>0</v>
      </c>
      <c r="CZ4" s="360">
        <f t="shared" si="42"/>
        <v>0</v>
      </c>
      <c r="DA4" s="360">
        <f t="shared" si="43"/>
        <v>0</v>
      </c>
      <c r="DB4" s="360">
        <f t="shared" si="44"/>
        <v>0</v>
      </c>
      <c r="DC4" s="360">
        <f t="shared" si="45"/>
        <v>0</v>
      </c>
      <c r="DD4" s="360">
        <f t="shared" si="46"/>
        <v>0</v>
      </c>
      <c r="DE4" s="360">
        <f t="shared" si="47"/>
        <v>0</v>
      </c>
      <c r="DF4" s="360">
        <f t="shared" si="48"/>
        <v>0</v>
      </c>
      <c r="DG4" s="360">
        <f t="shared" si="49"/>
        <v>0</v>
      </c>
      <c r="DH4" s="360">
        <f t="shared" si="50"/>
        <v>0</v>
      </c>
      <c r="DI4" s="360">
        <f t="shared" si="51"/>
        <v>0</v>
      </c>
    </row>
    <row r="5" spans="1:113" ht="56" x14ac:dyDescent="0.3">
      <c r="A5" s="55" t="s">
        <v>1349</v>
      </c>
      <c r="B5" s="90" t="s">
        <v>1350</v>
      </c>
      <c r="C5" s="1" t="s">
        <v>1351</v>
      </c>
      <c r="D5" s="265" t="s">
        <v>297</v>
      </c>
      <c r="E5" s="1" t="s">
        <v>1352</v>
      </c>
      <c r="F5" s="94" t="s">
        <v>1339</v>
      </c>
      <c r="G5" s="113">
        <f>'[1]Costs (Arup)'!D18*230</f>
        <v>510830</v>
      </c>
      <c r="H5" s="114" t="s">
        <v>871</v>
      </c>
      <c r="I5" s="48">
        <v>0</v>
      </c>
      <c r="J5" s="48">
        <f t="shared" si="1"/>
        <v>510830</v>
      </c>
      <c r="K5" s="118">
        <f t="shared" si="2"/>
        <v>510830</v>
      </c>
      <c r="L5" s="114" t="s">
        <v>1340</v>
      </c>
      <c r="M5" s="129">
        <f t="shared" si="3"/>
        <v>0</v>
      </c>
      <c r="N5" s="100" t="s">
        <v>1183</v>
      </c>
      <c r="O5" s="98"/>
      <c r="P5" s="98"/>
      <c r="Q5" s="98"/>
      <c r="R5" s="9"/>
      <c r="S5" s="9"/>
      <c r="T5" s="103"/>
      <c r="U5" s="242">
        <f>[1]Phasing!D31</f>
        <v>0.17959895379250218</v>
      </c>
      <c r="V5" s="242">
        <f>[1]Phasing!E31</f>
        <v>0.1054925893635571</v>
      </c>
      <c r="W5" s="242">
        <f>[1]Phasing!F31</f>
        <v>0.71490845684394067</v>
      </c>
      <c r="X5" s="243">
        <f>[1]Phasing!G31</f>
        <v>0</v>
      </c>
      <c r="Y5" s="243">
        <f>[1]Phasing!H31</f>
        <v>0</v>
      </c>
      <c r="Z5" s="244">
        <f>[1]Phasing!I31</f>
        <v>0</v>
      </c>
      <c r="AA5" s="131" t="s">
        <v>1353</v>
      </c>
      <c r="AB5" s="1" t="s">
        <v>309</v>
      </c>
      <c r="AC5" s="1" t="s">
        <v>1354</v>
      </c>
      <c r="AD5" s="274" t="s">
        <v>241</v>
      </c>
      <c r="AE5" s="1"/>
      <c r="AF5" s="405" t="s">
        <v>461</v>
      </c>
      <c r="AG5" s="94" t="s">
        <v>875</v>
      </c>
      <c r="AH5" s="132"/>
      <c r="AI5" s="8"/>
      <c r="AJ5" s="8"/>
      <c r="AK5" s="8"/>
      <c r="AL5" s="8"/>
      <c r="AM5" s="8"/>
      <c r="AN5" s="8"/>
      <c r="AO5" s="87">
        <f>$K$5*'[1]Apportionment %'!J6</f>
        <v>289485.17872711422</v>
      </c>
      <c r="AP5" s="87">
        <f>$K$5*'[1]Apportionment %'!K6</f>
        <v>31175.326939843068</v>
      </c>
      <c r="AQ5" s="87">
        <f>$K$5*'[1]Apportionment %'!L6</f>
        <v>30729.965126416741</v>
      </c>
      <c r="AR5" s="87">
        <f>$K$5*'[1]Apportionment %'!M6</f>
        <v>18705.196163905839</v>
      </c>
      <c r="AS5" s="87">
        <f>$K$5*'[1]Apportionment %'!N6</f>
        <v>16033.025283347864</v>
      </c>
      <c r="AT5" s="87">
        <f>$K$5*'[1]Apportionment %'!O6</f>
        <v>15587.663469921534</v>
      </c>
      <c r="AU5" s="87">
        <f>$K$5*'[1]Apportionment %'!P6</f>
        <v>15587.663469921534</v>
      </c>
      <c r="AV5" s="87">
        <f>$K$5*'[1]Apportionment %'!Q6</f>
        <v>15587.663469921534</v>
      </c>
      <c r="AW5" s="87">
        <f>$K$5*'[1]Apportionment %'!R6</f>
        <v>10243.321708805581</v>
      </c>
      <c r="AX5" s="87">
        <f>$K$5*'[1]Apportionment %'!S6</f>
        <v>8907.2362685265907</v>
      </c>
      <c r="AY5" s="87">
        <f>$K$5*'[1]Apportionment %'!T6</f>
        <v>7125.7890148212728</v>
      </c>
      <c r="AZ5" s="87">
        <f>$K$5*'[1]Apportionment %'!U6</f>
        <v>7125.7890148212728</v>
      </c>
      <c r="BA5" s="87">
        <f>$K$5*'[1]Apportionment %'!V6</f>
        <v>6680.427201394943</v>
      </c>
      <c r="BB5" s="87">
        <f>$K$5*'[1]Apportionment %'!W6</f>
        <v>5789.7035745422845</v>
      </c>
      <c r="BC5" s="87">
        <f>$K$5*'[1]Apportionment %'!X6</f>
        <v>5344.3417611159548</v>
      </c>
      <c r="BD5" s="87">
        <f>$K$5*'[1]Apportionment %'!Y6</f>
        <v>4453.6181342632954</v>
      </c>
      <c r="BE5" s="87">
        <f>$K$5*'[1]Apportionment %'!Z6</f>
        <v>4453.6181342632954</v>
      </c>
      <c r="BF5" s="87">
        <f>$K$5*'[1]Apportionment %'!AA6</f>
        <v>4453.6181342632954</v>
      </c>
      <c r="BG5" s="87">
        <f>$K$5*'[1]Apportionment %'!AB6</f>
        <v>4453.6181342632954</v>
      </c>
      <c r="BH5" s="87">
        <f>$K$5*'[1]Apportionment %'!AC6</f>
        <v>4453.6181342632954</v>
      </c>
      <c r="BI5" s="87">
        <f>$K$5*'[1]Apportionment %'!AD6</f>
        <v>4453.6181342632954</v>
      </c>
      <c r="BJ5" s="8"/>
      <c r="BK5" s="288" t="b">
        <f t="shared" si="0"/>
        <v>1</v>
      </c>
      <c r="BM5" s="356"/>
      <c r="BN5" s="360">
        <f t="shared" si="4"/>
        <v>0</v>
      </c>
      <c r="BO5" s="360">
        <f t="shared" si="5"/>
        <v>0</v>
      </c>
      <c r="BP5" s="360">
        <f t="shared" si="6"/>
        <v>0</v>
      </c>
      <c r="BQ5" s="360">
        <f t="shared" si="7"/>
        <v>0</v>
      </c>
      <c r="BR5" s="360">
        <f t="shared" si="8"/>
        <v>0</v>
      </c>
      <c r="BS5" s="360">
        <f t="shared" si="9"/>
        <v>0</v>
      </c>
      <c r="BT5" s="360">
        <f t="shared" si="10"/>
        <v>0</v>
      </c>
      <c r="BU5" s="360">
        <f t="shared" si="11"/>
        <v>0</v>
      </c>
      <c r="BV5" s="360">
        <f t="shared" si="12"/>
        <v>0</v>
      </c>
      <c r="BW5" s="360">
        <f t="shared" si="13"/>
        <v>0</v>
      </c>
      <c r="BX5" s="360">
        <f t="shared" si="14"/>
        <v>0</v>
      </c>
      <c r="BY5" s="360">
        <f t="shared" si="15"/>
        <v>0</v>
      </c>
      <c r="BZ5" s="360">
        <f t="shared" si="16"/>
        <v>0</v>
      </c>
      <c r="CA5" s="360">
        <f t="shared" si="17"/>
        <v>0</v>
      </c>
      <c r="CB5" s="360">
        <f t="shared" si="18"/>
        <v>0</v>
      </c>
      <c r="CC5" s="360">
        <f t="shared" si="19"/>
        <v>0</v>
      </c>
      <c r="CD5" s="360">
        <f t="shared" si="20"/>
        <v>0</v>
      </c>
      <c r="CE5" s="360">
        <f t="shared" si="21"/>
        <v>0</v>
      </c>
      <c r="CF5" s="360">
        <f t="shared" si="22"/>
        <v>0</v>
      </c>
      <c r="CG5" s="360">
        <f t="shared" si="23"/>
        <v>0</v>
      </c>
      <c r="CH5" s="360">
        <f t="shared" si="24"/>
        <v>0</v>
      </c>
      <c r="CI5" s="360">
        <f t="shared" si="25"/>
        <v>0</v>
      </c>
      <c r="CJ5" s="360">
        <f t="shared" si="26"/>
        <v>0</v>
      </c>
      <c r="CK5" s="360">
        <f t="shared" si="27"/>
        <v>0</v>
      </c>
      <c r="CL5" s="360">
        <f t="shared" si="28"/>
        <v>0</v>
      </c>
      <c r="CM5" s="360">
        <f t="shared" si="29"/>
        <v>0</v>
      </c>
      <c r="CN5" s="360">
        <f t="shared" si="30"/>
        <v>0</v>
      </c>
      <c r="CO5" s="360">
        <f t="shared" si="31"/>
        <v>0</v>
      </c>
      <c r="CP5" s="360">
        <f t="shared" si="32"/>
        <v>0</v>
      </c>
      <c r="CQ5" s="360">
        <f t="shared" si="33"/>
        <v>0</v>
      </c>
      <c r="CR5" s="360">
        <f t="shared" si="34"/>
        <v>0</v>
      </c>
      <c r="CS5" s="360">
        <f t="shared" si="35"/>
        <v>0</v>
      </c>
      <c r="CT5" s="360">
        <f t="shared" si="36"/>
        <v>0</v>
      </c>
      <c r="CU5" s="360">
        <f t="shared" si="37"/>
        <v>0</v>
      </c>
      <c r="CV5" s="360">
        <f t="shared" si="38"/>
        <v>0</v>
      </c>
      <c r="CW5" s="360">
        <f t="shared" si="39"/>
        <v>0</v>
      </c>
      <c r="CX5" s="360">
        <f t="shared" si="40"/>
        <v>0</v>
      </c>
      <c r="CY5" s="360">
        <f t="shared" si="41"/>
        <v>0</v>
      </c>
      <c r="CZ5" s="360">
        <f t="shared" si="42"/>
        <v>0</v>
      </c>
      <c r="DA5" s="360">
        <f t="shared" si="43"/>
        <v>0</v>
      </c>
      <c r="DB5" s="360">
        <f t="shared" si="44"/>
        <v>0</v>
      </c>
      <c r="DC5" s="360">
        <f t="shared" si="45"/>
        <v>0</v>
      </c>
      <c r="DD5" s="360">
        <f t="shared" si="46"/>
        <v>51991.235237825225</v>
      </c>
      <c r="DE5" s="360">
        <f t="shared" si="47"/>
        <v>30538.541086295394</v>
      </c>
      <c r="DF5" s="360">
        <f t="shared" si="48"/>
        <v>206955.40240299358</v>
      </c>
      <c r="DG5" s="360">
        <f t="shared" si="49"/>
        <v>0</v>
      </c>
      <c r="DH5" s="360">
        <f t="shared" si="50"/>
        <v>0</v>
      </c>
      <c r="DI5" s="360">
        <f t="shared" si="51"/>
        <v>0</v>
      </c>
    </row>
    <row r="6" spans="1:113" ht="56" x14ac:dyDescent="0.3">
      <c r="A6" s="55" t="s">
        <v>1355</v>
      </c>
      <c r="B6" s="90" t="s">
        <v>1356</v>
      </c>
      <c r="C6" s="1" t="s">
        <v>1357</v>
      </c>
      <c r="D6" s="265" t="s">
        <v>297</v>
      </c>
      <c r="E6" s="1" t="s">
        <v>1352</v>
      </c>
      <c r="F6" s="94" t="s">
        <v>1339</v>
      </c>
      <c r="G6" s="113">
        <f>'[1]Costs (Arup)'!D20*350</f>
        <v>744100</v>
      </c>
      <c r="H6" s="114" t="s">
        <v>1358</v>
      </c>
      <c r="I6" s="48">
        <v>0</v>
      </c>
      <c r="J6" s="48">
        <f>G6</f>
        <v>744100</v>
      </c>
      <c r="K6" s="118">
        <f>J6</f>
        <v>744100</v>
      </c>
      <c r="L6" s="114" t="s">
        <v>1340</v>
      </c>
      <c r="M6" s="129">
        <f t="shared" si="3"/>
        <v>0</v>
      </c>
      <c r="N6" s="100" t="s">
        <v>903</v>
      </c>
      <c r="O6" s="98"/>
      <c r="P6" s="98"/>
      <c r="Q6" s="9"/>
      <c r="R6" s="9"/>
      <c r="S6" s="9"/>
      <c r="T6" s="103"/>
      <c r="U6" s="224"/>
      <c r="V6" s="242">
        <v>1</v>
      </c>
      <c r="W6" s="223"/>
      <c r="X6" s="223"/>
      <c r="Y6" s="223"/>
      <c r="Z6" s="225"/>
      <c r="AA6" s="96"/>
      <c r="AB6" s="1" t="s">
        <v>309</v>
      </c>
      <c r="AC6" s="1" t="s">
        <v>1354</v>
      </c>
      <c r="AD6" s="274" t="s">
        <v>241</v>
      </c>
      <c r="AE6" s="1"/>
      <c r="AF6" s="405" t="s">
        <v>461</v>
      </c>
      <c r="AG6" s="94" t="s">
        <v>875</v>
      </c>
      <c r="AH6" s="132"/>
      <c r="AI6" s="88">
        <f>K6</f>
        <v>744100</v>
      </c>
      <c r="AJ6" s="8"/>
      <c r="AK6" s="8"/>
      <c r="AL6" s="8"/>
      <c r="AM6" s="8"/>
      <c r="AN6" s="8"/>
      <c r="AO6" s="8"/>
      <c r="AP6" s="8"/>
      <c r="AQ6" s="8"/>
      <c r="AR6" s="8"/>
      <c r="AS6" s="8"/>
      <c r="AT6" s="8"/>
      <c r="AU6" s="8"/>
      <c r="AV6" s="8"/>
      <c r="AW6" s="8"/>
      <c r="AX6" s="8"/>
      <c r="AY6" s="8"/>
      <c r="AZ6" s="8"/>
      <c r="BA6" s="8"/>
      <c r="BB6" s="8"/>
      <c r="BC6" s="8"/>
      <c r="BD6" s="8"/>
      <c r="BE6" s="8"/>
      <c r="BF6" s="8"/>
      <c r="BG6" s="8"/>
      <c r="BH6" s="8"/>
      <c r="BI6" s="8"/>
      <c r="BJ6" s="8"/>
      <c r="BK6" s="288" t="b">
        <f t="shared" si="0"/>
        <v>1</v>
      </c>
      <c r="BM6" s="356"/>
      <c r="BN6" s="360">
        <f t="shared" si="4"/>
        <v>0</v>
      </c>
      <c r="BO6" s="360">
        <f t="shared" si="5"/>
        <v>0</v>
      </c>
      <c r="BP6" s="360">
        <f t="shared" si="6"/>
        <v>0</v>
      </c>
      <c r="BQ6" s="360">
        <f t="shared" si="7"/>
        <v>0</v>
      </c>
      <c r="BR6" s="360">
        <f t="shared" si="8"/>
        <v>0</v>
      </c>
      <c r="BS6" s="360">
        <f t="shared" si="9"/>
        <v>0</v>
      </c>
      <c r="BT6" s="360">
        <f t="shared" si="10"/>
        <v>0</v>
      </c>
      <c r="BU6" s="360">
        <f t="shared" si="11"/>
        <v>744100</v>
      </c>
      <c r="BV6" s="360">
        <f t="shared" si="12"/>
        <v>0</v>
      </c>
      <c r="BW6" s="360">
        <f t="shared" si="13"/>
        <v>0</v>
      </c>
      <c r="BX6" s="360">
        <f t="shared" si="14"/>
        <v>0</v>
      </c>
      <c r="BY6" s="360">
        <f t="shared" si="15"/>
        <v>0</v>
      </c>
      <c r="BZ6" s="360">
        <f t="shared" si="16"/>
        <v>0</v>
      </c>
      <c r="CA6" s="360">
        <f t="shared" si="17"/>
        <v>0</v>
      </c>
      <c r="CB6" s="360">
        <f t="shared" si="18"/>
        <v>0</v>
      </c>
      <c r="CC6" s="360">
        <f t="shared" si="19"/>
        <v>0</v>
      </c>
      <c r="CD6" s="360">
        <f t="shared" si="20"/>
        <v>0</v>
      </c>
      <c r="CE6" s="360">
        <f t="shared" si="21"/>
        <v>0</v>
      </c>
      <c r="CF6" s="360">
        <f t="shared" si="22"/>
        <v>0</v>
      </c>
      <c r="CG6" s="360">
        <f t="shared" si="23"/>
        <v>0</v>
      </c>
      <c r="CH6" s="360">
        <f t="shared" si="24"/>
        <v>0</v>
      </c>
      <c r="CI6" s="360">
        <f t="shared" si="25"/>
        <v>0</v>
      </c>
      <c r="CJ6" s="360">
        <f t="shared" si="26"/>
        <v>0</v>
      </c>
      <c r="CK6" s="360">
        <f t="shared" si="27"/>
        <v>0</v>
      </c>
      <c r="CL6" s="360">
        <f t="shared" si="28"/>
        <v>0</v>
      </c>
      <c r="CM6" s="360">
        <f t="shared" si="29"/>
        <v>0</v>
      </c>
      <c r="CN6" s="360">
        <f t="shared" si="30"/>
        <v>0</v>
      </c>
      <c r="CO6" s="360">
        <f t="shared" si="31"/>
        <v>0</v>
      </c>
      <c r="CP6" s="360">
        <f t="shared" si="32"/>
        <v>0</v>
      </c>
      <c r="CQ6" s="360">
        <f t="shared" si="33"/>
        <v>0</v>
      </c>
      <c r="CR6" s="360">
        <f t="shared" si="34"/>
        <v>0</v>
      </c>
      <c r="CS6" s="360">
        <f t="shared" si="35"/>
        <v>0</v>
      </c>
      <c r="CT6" s="360">
        <f t="shared" si="36"/>
        <v>0</v>
      </c>
      <c r="CU6" s="360">
        <f t="shared" si="37"/>
        <v>0</v>
      </c>
      <c r="CV6" s="360">
        <f t="shared" si="38"/>
        <v>0</v>
      </c>
      <c r="CW6" s="360">
        <f t="shared" si="39"/>
        <v>0</v>
      </c>
      <c r="CX6" s="360">
        <f t="shared" si="40"/>
        <v>0</v>
      </c>
      <c r="CY6" s="360">
        <f t="shared" si="41"/>
        <v>0</v>
      </c>
      <c r="CZ6" s="360">
        <f t="shared" si="42"/>
        <v>0</v>
      </c>
      <c r="DA6" s="360">
        <f t="shared" si="43"/>
        <v>0</v>
      </c>
      <c r="DB6" s="360">
        <f t="shared" si="44"/>
        <v>0</v>
      </c>
      <c r="DC6" s="360">
        <f t="shared" si="45"/>
        <v>0</v>
      </c>
      <c r="DD6" s="360">
        <f t="shared" si="46"/>
        <v>0</v>
      </c>
      <c r="DE6" s="360">
        <f t="shared" si="47"/>
        <v>0</v>
      </c>
      <c r="DF6" s="360">
        <f t="shared" si="48"/>
        <v>0</v>
      </c>
      <c r="DG6" s="360">
        <f t="shared" si="49"/>
        <v>0</v>
      </c>
      <c r="DH6" s="360">
        <f t="shared" si="50"/>
        <v>0</v>
      </c>
      <c r="DI6" s="360">
        <f t="shared" si="51"/>
        <v>0</v>
      </c>
    </row>
    <row r="7" spans="1:113" ht="56" x14ac:dyDescent="0.3">
      <c r="A7" s="55" t="s">
        <v>1359</v>
      </c>
      <c r="B7" s="90"/>
      <c r="C7" s="1" t="s">
        <v>1360</v>
      </c>
      <c r="D7" s="265" t="s">
        <v>297</v>
      </c>
      <c r="E7" s="1" t="s">
        <v>1361</v>
      </c>
      <c r="F7" s="94" t="s">
        <v>984</v>
      </c>
      <c r="G7" s="113">
        <f>'[1]Costs (Arup)'!D18*3120</f>
        <v>6929520</v>
      </c>
      <c r="H7" s="114" t="s">
        <v>871</v>
      </c>
      <c r="I7" s="48">
        <v>0</v>
      </c>
      <c r="J7" s="48">
        <f t="shared" si="1"/>
        <v>6929520</v>
      </c>
      <c r="K7" s="118">
        <f t="shared" si="2"/>
        <v>6929520</v>
      </c>
      <c r="L7" s="114" t="s">
        <v>1340</v>
      </c>
      <c r="M7" s="129">
        <f t="shared" si="3"/>
        <v>0</v>
      </c>
      <c r="N7" s="100" t="s">
        <v>890</v>
      </c>
      <c r="O7" s="98"/>
      <c r="P7" s="98"/>
      <c r="Q7" s="98"/>
      <c r="R7" s="98"/>
      <c r="S7" s="98"/>
      <c r="T7" s="160"/>
      <c r="U7" s="242">
        <f>[1]Phasing!D28</f>
        <v>2.1666666666666667E-2</v>
      </c>
      <c r="V7" s="242">
        <f>[1]Phasing!E28</f>
        <v>0.13333333333333333</v>
      </c>
      <c r="W7" s="242">
        <f>[1]Phasing!F28</f>
        <v>0.15</v>
      </c>
      <c r="X7" s="242">
        <f>[1]Phasing!G28</f>
        <v>0.15</v>
      </c>
      <c r="Y7" s="242">
        <f>[1]Phasing!H28</f>
        <v>0.15</v>
      </c>
      <c r="Z7" s="247">
        <f>[1]Phasing!I28</f>
        <v>0.39500000000000002</v>
      </c>
      <c r="AA7" s="96"/>
      <c r="AC7" s="1" t="s">
        <v>367</v>
      </c>
      <c r="AD7" s="274" t="s">
        <v>241</v>
      </c>
      <c r="AE7" s="1"/>
      <c r="AF7" s="97" t="s">
        <v>242</v>
      </c>
      <c r="AG7" s="94" t="s">
        <v>252</v>
      </c>
      <c r="AH7" s="132"/>
      <c r="AI7" s="8"/>
      <c r="AJ7" s="8"/>
      <c r="AK7" s="8"/>
      <c r="AL7" s="8"/>
      <c r="AM7" s="87">
        <f>$K$7*'[1]Apportionment %'!H9</f>
        <v>5890092</v>
      </c>
      <c r="AN7" s="87">
        <f>$K$7*'[1]Apportionment %'!I9</f>
        <v>1039428</v>
      </c>
      <c r="AO7" s="8"/>
      <c r="AP7" s="8"/>
      <c r="AQ7" s="8"/>
      <c r="AR7" s="8"/>
      <c r="AS7" s="8"/>
      <c r="AT7" s="8"/>
      <c r="AU7" s="8"/>
      <c r="AV7" s="8"/>
      <c r="AW7" s="8"/>
      <c r="AX7" s="8"/>
      <c r="AY7" s="8"/>
      <c r="AZ7" s="8"/>
      <c r="BA7" s="8"/>
      <c r="BB7" s="8"/>
      <c r="BC7" s="8"/>
      <c r="BD7" s="8"/>
      <c r="BE7" s="8"/>
      <c r="BF7" s="8"/>
      <c r="BG7" s="8"/>
      <c r="BH7" s="8"/>
      <c r="BI7" s="8"/>
      <c r="BJ7" s="8"/>
      <c r="BK7" s="288" t="b">
        <f t="shared" si="0"/>
        <v>1</v>
      </c>
      <c r="BM7" s="356"/>
      <c r="BN7" s="360">
        <f t="shared" si="4"/>
        <v>0</v>
      </c>
      <c r="BO7" s="360">
        <f t="shared" si="5"/>
        <v>0</v>
      </c>
      <c r="BP7" s="360">
        <f t="shared" si="6"/>
        <v>0</v>
      </c>
      <c r="BQ7" s="360">
        <f t="shared" si="7"/>
        <v>0</v>
      </c>
      <c r="BR7" s="360">
        <f t="shared" si="8"/>
        <v>0</v>
      </c>
      <c r="BS7" s="360">
        <f t="shared" si="9"/>
        <v>0</v>
      </c>
      <c r="BT7" s="360">
        <f t="shared" si="10"/>
        <v>0</v>
      </c>
      <c r="BU7" s="360">
        <f t="shared" si="11"/>
        <v>0</v>
      </c>
      <c r="BV7" s="360">
        <f t="shared" si="12"/>
        <v>0</v>
      </c>
      <c r="BW7" s="360">
        <f t="shared" si="13"/>
        <v>0</v>
      </c>
      <c r="BX7" s="360">
        <f t="shared" si="14"/>
        <v>0</v>
      </c>
      <c r="BY7" s="360">
        <f t="shared" si="15"/>
        <v>0</v>
      </c>
      <c r="BZ7" s="360">
        <f t="shared" si="16"/>
        <v>0</v>
      </c>
      <c r="CA7" s="360">
        <f t="shared" si="17"/>
        <v>0</v>
      </c>
      <c r="CB7" s="360">
        <f t="shared" si="18"/>
        <v>0</v>
      </c>
      <c r="CC7" s="360">
        <f t="shared" si="19"/>
        <v>0</v>
      </c>
      <c r="CD7" s="360">
        <f t="shared" si="20"/>
        <v>0</v>
      </c>
      <c r="CE7" s="360">
        <f t="shared" si="21"/>
        <v>0</v>
      </c>
      <c r="CF7" s="360">
        <f t="shared" si="22"/>
        <v>0</v>
      </c>
      <c r="CG7" s="360">
        <f t="shared" si="23"/>
        <v>0</v>
      </c>
      <c r="CH7" s="360">
        <f t="shared" si="24"/>
        <v>0</v>
      </c>
      <c r="CI7" s="360">
        <f t="shared" si="25"/>
        <v>0</v>
      </c>
      <c r="CJ7" s="360">
        <f t="shared" si="26"/>
        <v>0</v>
      </c>
      <c r="CK7" s="360">
        <f t="shared" si="27"/>
        <v>0</v>
      </c>
      <c r="CL7" s="360">
        <f t="shared" si="28"/>
        <v>0</v>
      </c>
      <c r="CM7" s="360">
        <f t="shared" si="29"/>
        <v>0</v>
      </c>
      <c r="CN7" s="360">
        <f t="shared" si="30"/>
        <v>0</v>
      </c>
      <c r="CO7" s="360">
        <f t="shared" si="31"/>
        <v>0</v>
      </c>
      <c r="CP7" s="360">
        <f t="shared" si="32"/>
        <v>0</v>
      </c>
      <c r="CQ7" s="360">
        <f t="shared" si="33"/>
        <v>0</v>
      </c>
      <c r="CR7" s="360">
        <f>$U7*AM7</f>
        <v>127618.66</v>
      </c>
      <c r="CS7" s="360">
        <f t="shared" si="35"/>
        <v>785345.6</v>
      </c>
      <c r="CT7" s="360">
        <f t="shared" si="36"/>
        <v>883513.79999999993</v>
      </c>
      <c r="CU7" s="360">
        <f t="shared" si="37"/>
        <v>883513.79999999993</v>
      </c>
      <c r="CV7" s="360">
        <f t="shared" si="38"/>
        <v>883513.79999999993</v>
      </c>
      <c r="CW7" s="360">
        <f t="shared" si="39"/>
        <v>2326586.3400000003</v>
      </c>
      <c r="CX7" s="360">
        <f t="shared" si="40"/>
        <v>22520.940000000002</v>
      </c>
      <c r="CY7" s="360">
        <f t="shared" si="41"/>
        <v>138590.39999999999</v>
      </c>
      <c r="CZ7" s="360">
        <f t="shared" si="42"/>
        <v>155914.19999999998</v>
      </c>
      <c r="DA7" s="360">
        <f t="shared" si="43"/>
        <v>155914.19999999998</v>
      </c>
      <c r="DB7" s="360">
        <f t="shared" si="44"/>
        <v>155914.19999999998</v>
      </c>
      <c r="DC7" s="360">
        <f t="shared" si="45"/>
        <v>410574.06</v>
      </c>
      <c r="DD7" s="360">
        <f t="shared" si="46"/>
        <v>0</v>
      </c>
      <c r="DE7" s="360">
        <f t="shared" si="47"/>
        <v>0</v>
      </c>
      <c r="DF7" s="360">
        <f t="shared" si="48"/>
        <v>0</v>
      </c>
      <c r="DG7" s="360">
        <f t="shared" si="49"/>
        <v>0</v>
      </c>
      <c r="DH7" s="360">
        <f t="shared" si="50"/>
        <v>0</v>
      </c>
      <c r="DI7" s="360">
        <f t="shared" si="51"/>
        <v>0</v>
      </c>
    </row>
    <row r="8" spans="1:113" ht="28" x14ac:dyDescent="0.3">
      <c r="A8" s="55" t="s">
        <v>1362</v>
      </c>
      <c r="B8" s="90"/>
      <c r="C8" s="1" t="s">
        <v>1363</v>
      </c>
      <c r="D8" s="265" t="s">
        <v>297</v>
      </c>
      <c r="E8" s="1" t="s">
        <v>1361</v>
      </c>
      <c r="F8" s="94" t="s">
        <v>984</v>
      </c>
      <c r="G8" s="113">
        <f>(340594/175)*252</f>
        <v>490455.36</v>
      </c>
      <c r="H8" s="114" t="s">
        <v>957</v>
      </c>
      <c r="I8" s="48">
        <v>0</v>
      </c>
      <c r="J8" s="48">
        <f t="shared" si="1"/>
        <v>490455.36</v>
      </c>
      <c r="K8" s="118">
        <f t="shared" si="2"/>
        <v>490455.36</v>
      </c>
      <c r="L8" s="114" t="s">
        <v>1364</v>
      </c>
      <c r="M8" s="129">
        <f t="shared" si="3"/>
        <v>0</v>
      </c>
      <c r="N8" s="100" t="s">
        <v>365</v>
      </c>
      <c r="O8" s="98"/>
      <c r="P8" s="98"/>
      <c r="Q8" s="9"/>
      <c r="R8" s="9"/>
      <c r="S8" s="9"/>
      <c r="T8" s="103"/>
      <c r="U8" s="242">
        <v>0.5</v>
      </c>
      <c r="V8" s="242">
        <v>0.5</v>
      </c>
      <c r="W8" s="226"/>
      <c r="X8" s="226"/>
      <c r="Y8" s="226"/>
      <c r="Z8" s="227"/>
      <c r="AA8" s="96" t="s">
        <v>1365</v>
      </c>
      <c r="AB8" s="1"/>
      <c r="AC8" s="1" t="s">
        <v>1366</v>
      </c>
      <c r="AD8" s="274" t="s">
        <v>241</v>
      </c>
      <c r="AE8" s="1"/>
      <c r="AF8" s="97" t="s">
        <v>242</v>
      </c>
      <c r="AG8" s="94" t="s">
        <v>252</v>
      </c>
      <c r="AH8" s="132"/>
      <c r="AI8" s="8"/>
      <c r="AJ8" s="8"/>
      <c r="AK8" s="8"/>
      <c r="AL8" s="8"/>
      <c r="AM8" s="142">
        <f>$K$8*'[1]Apportionment %'!H9</f>
        <v>416887.05599999998</v>
      </c>
      <c r="AN8" s="142">
        <f>$K$8*'[1]Apportionment %'!I9</f>
        <v>73568.303999999989</v>
      </c>
      <c r="AO8" s="8"/>
      <c r="AP8" s="8"/>
      <c r="AQ8" s="8"/>
      <c r="AR8" s="8"/>
      <c r="AS8" s="8"/>
      <c r="AT8" s="8"/>
      <c r="AU8" s="8"/>
      <c r="AV8" s="8"/>
      <c r="AW8" s="8"/>
      <c r="AX8" s="8"/>
      <c r="AY8" s="8"/>
      <c r="AZ8" s="8"/>
      <c r="BA8" s="8"/>
      <c r="BB8" s="8"/>
      <c r="BC8" s="8"/>
      <c r="BD8" s="8"/>
      <c r="BE8" s="8"/>
      <c r="BF8" s="8"/>
      <c r="BG8" s="8"/>
      <c r="BH8" s="8"/>
      <c r="BI8" s="8"/>
      <c r="BJ8" s="8"/>
      <c r="BK8" s="288" t="b">
        <f t="shared" si="0"/>
        <v>1</v>
      </c>
      <c r="BM8" s="356"/>
      <c r="BN8" s="360">
        <f t="shared" si="4"/>
        <v>0</v>
      </c>
      <c r="BO8" s="360">
        <f t="shared" si="5"/>
        <v>0</v>
      </c>
      <c r="BP8" s="360">
        <f t="shared" si="6"/>
        <v>0</v>
      </c>
      <c r="BQ8" s="360">
        <f t="shared" si="7"/>
        <v>0</v>
      </c>
      <c r="BR8" s="360">
        <f t="shared" si="8"/>
        <v>0</v>
      </c>
      <c r="BS8" s="360">
        <f t="shared" si="9"/>
        <v>0</v>
      </c>
      <c r="BT8" s="360">
        <f t="shared" si="10"/>
        <v>0</v>
      </c>
      <c r="BU8" s="360">
        <f t="shared" si="11"/>
        <v>0</v>
      </c>
      <c r="BV8" s="360">
        <f t="shared" si="12"/>
        <v>0</v>
      </c>
      <c r="BW8" s="360">
        <f t="shared" si="13"/>
        <v>0</v>
      </c>
      <c r="BX8" s="360">
        <f t="shared" si="14"/>
        <v>0</v>
      </c>
      <c r="BY8" s="360">
        <f t="shared" si="15"/>
        <v>0</v>
      </c>
      <c r="BZ8" s="360">
        <f t="shared" si="16"/>
        <v>0</v>
      </c>
      <c r="CA8" s="360">
        <f t="shared" si="17"/>
        <v>0</v>
      </c>
      <c r="CB8" s="360">
        <f t="shared" si="18"/>
        <v>0</v>
      </c>
      <c r="CC8" s="360">
        <f t="shared" si="19"/>
        <v>0</v>
      </c>
      <c r="CD8" s="360">
        <f t="shared" si="20"/>
        <v>0</v>
      </c>
      <c r="CE8" s="360">
        <f t="shared" si="21"/>
        <v>0</v>
      </c>
      <c r="CF8" s="360">
        <f t="shared" si="22"/>
        <v>0</v>
      </c>
      <c r="CG8" s="360">
        <f t="shared" si="23"/>
        <v>0</v>
      </c>
      <c r="CH8" s="360">
        <f t="shared" si="24"/>
        <v>0</v>
      </c>
      <c r="CI8" s="360">
        <f t="shared" si="25"/>
        <v>0</v>
      </c>
      <c r="CJ8" s="360">
        <f t="shared" si="26"/>
        <v>0</v>
      </c>
      <c r="CK8" s="360">
        <f t="shared" si="27"/>
        <v>0</v>
      </c>
      <c r="CL8" s="360">
        <f t="shared" si="28"/>
        <v>0</v>
      </c>
      <c r="CM8" s="360">
        <f t="shared" si="29"/>
        <v>0</v>
      </c>
      <c r="CN8" s="360">
        <f t="shared" si="30"/>
        <v>0</v>
      </c>
      <c r="CO8" s="360">
        <f t="shared" si="31"/>
        <v>0</v>
      </c>
      <c r="CP8" s="360">
        <f t="shared" si="32"/>
        <v>0</v>
      </c>
      <c r="CQ8" s="360">
        <f t="shared" si="33"/>
        <v>0</v>
      </c>
      <c r="CR8" s="360">
        <f t="shared" si="34"/>
        <v>208443.52799999999</v>
      </c>
      <c r="CS8" s="360">
        <f t="shared" si="35"/>
        <v>208443.52799999999</v>
      </c>
      <c r="CT8" s="360">
        <f t="shared" si="36"/>
        <v>0</v>
      </c>
      <c r="CU8" s="360">
        <f t="shared" si="37"/>
        <v>0</v>
      </c>
      <c r="CV8" s="360">
        <f t="shared" si="38"/>
        <v>0</v>
      </c>
      <c r="CW8" s="360">
        <f t="shared" si="39"/>
        <v>0</v>
      </c>
      <c r="CX8" s="360">
        <f t="shared" si="40"/>
        <v>36784.151999999995</v>
      </c>
      <c r="CY8" s="360">
        <f t="shared" si="41"/>
        <v>36784.151999999995</v>
      </c>
      <c r="CZ8" s="360">
        <f t="shared" si="42"/>
        <v>0</v>
      </c>
      <c r="DA8" s="360">
        <f t="shared" si="43"/>
        <v>0</v>
      </c>
      <c r="DB8" s="360">
        <f t="shared" si="44"/>
        <v>0</v>
      </c>
      <c r="DC8" s="360">
        <f t="shared" si="45"/>
        <v>0</v>
      </c>
      <c r="DD8" s="360">
        <f t="shared" si="46"/>
        <v>0</v>
      </c>
      <c r="DE8" s="360">
        <f t="shared" si="47"/>
        <v>0</v>
      </c>
      <c r="DF8" s="360">
        <f t="shared" si="48"/>
        <v>0</v>
      </c>
      <c r="DG8" s="360">
        <f t="shared" si="49"/>
        <v>0</v>
      </c>
      <c r="DH8" s="360">
        <f t="shared" si="50"/>
        <v>0</v>
      </c>
      <c r="DI8" s="360">
        <f t="shared" si="51"/>
        <v>0</v>
      </c>
    </row>
    <row r="9" spans="1:113" ht="126" x14ac:dyDescent="0.3">
      <c r="A9" s="55" t="s">
        <v>1367</v>
      </c>
      <c r="B9" s="90"/>
      <c r="C9" s="1" t="s">
        <v>1368</v>
      </c>
      <c r="D9" s="265" t="s">
        <v>297</v>
      </c>
      <c r="E9" s="1" t="s">
        <v>1369</v>
      </c>
      <c r="F9" s="94" t="s">
        <v>984</v>
      </c>
      <c r="G9" s="113">
        <f>(1563108/175)*252</f>
        <v>2250875.52</v>
      </c>
      <c r="H9" s="114" t="s">
        <v>1370</v>
      </c>
      <c r="I9" s="48">
        <v>0</v>
      </c>
      <c r="J9" s="48">
        <f t="shared" si="1"/>
        <v>2250875.52</v>
      </c>
      <c r="K9" s="118">
        <f t="shared" si="2"/>
        <v>2250875.52</v>
      </c>
      <c r="L9" s="114" t="s">
        <v>1364</v>
      </c>
      <c r="M9" s="129">
        <f t="shared" si="3"/>
        <v>0</v>
      </c>
      <c r="N9" s="100" t="s">
        <v>334</v>
      </c>
      <c r="O9" s="98"/>
      <c r="P9" s="98"/>
      <c r="Q9" s="98"/>
      <c r="R9" s="9"/>
      <c r="S9" s="9"/>
      <c r="T9" s="103"/>
      <c r="U9" s="242"/>
      <c r="V9" s="242">
        <v>1</v>
      </c>
      <c r="W9" s="226"/>
      <c r="X9" s="226"/>
      <c r="Y9" s="226"/>
      <c r="Z9" s="227"/>
      <c r="AA9" s="96" t="s">
        <v>1371</v>
      </c>
      <c r="AB9" s="1"/>
      <c r="AC9" s="1" t="s">
        <v>1372</v>
      </c>
      <c r="AD9" s="276" t="s">
        <v>382</v>
      </c>
      <c r="AE9" s="1"/>
      <c r="AF9" s="97" t="s">
        <v>242</v>
      </c>
      <c r="AG9" s="109" t="s">
        <v>1373</v>
      </c>
      <c r="AH9" s="132"/>
      <c r="AI9" s="8"/>
      <c r="AJ9" s="8"/>
      <c r="AK9" s="8"/>
      <c r="AL9" s="8"/>
      <c r="AM9" s="87">
        <f>$K$9*'[1]Apportionment %'!H9</f>
        <v>1913244.192</v>
      </c>
      <c r="AN9" s="87">
        <f>$K$9*'[1]Apportionment %'!I9</f>
        <v>337631.32799999998</v>
      </c>
      <c r="AO9" s="8"/>
      <c r="AP9" s="8"/>
      <c r="AQ9" s="8"/>
      <c r="AR9" s="8"/>
      <c r="AS9" s="8"/>
      <c r="AT9" s="8"/>
      <c r="AU9" s="8"/>
      <c r="AV9" s="8"/>
      <c r="AW9" s="8"/>
      <c r="AX9" s="8"/>
      <c r="AY9" s="8"/>
      <c r="AZ9" s="8"/>
      <c r="BA9" s="8"/>
      <c r="BB9" s="8"/>
      <c r="BC9" s="8"/>
      <c r="BD9" s="8"/>
      <c r="BE9" s="8"/>
      <c r="BF9" s="8"/>
      <c r="BG9" s="8"/>
      <c r="BH9" s="8"/>
      <c r="BI9" s="8"/>
      <c r="BJ9" s="8"/>
      <c r="BK9" s="288" t="b">
        <f t="shared" si="0"/>
        <v>1</v>
      </c>
      <c r="BM9" s="356"/>
      <c r="BN9" s="360">
        <f t="shared" si="4"/>
        <v>0</v>
      </c>
      <c r="BO9" s="360">
        <f t="shared" si="5"/>
        <v>0</v>
      </c>
      <c r="BP9" s="360">
        <f t="shared" si="6"/>
        <v>0</v>
      </c>
      <c r="BQ9" s="360">
        <f t="shared" si="7"/>
        <v>0</v>
      </c>
      <c r="BR9" s="360">
        <f t="shared" si="8"/>
        <v>0</v>
      </c>
      <c r="BS9" s="360">
        <f t="shared" si="9"/>
        <v>0</v>
      </c>
      <c r="BT9" s="360">
        <f t="shared" si="10"/>
        <v>0</v>
      </c>
      <c r="BU9" s="360">
        <f t="shared" si="11"/>
        <v>0</v>
      </c>
      <c r="BV9" s="360">
        <f t="shared" si="12"/>
        <v>0</v>
      </c>
      <c r="BW9" s="360">
        <f t="shared" si="13"/>
        <v>0</v>
      </c>
      <c r="BX9" s="360">
        <f t="shared" si="14"/>
        <v>0</v>
      </c>
      <c r="BY9" s="360">
        <f t="shared" si="15"/>
        <v>0</v>
      </c>
      <c r="BZ9" s="360">
        <f t="shared" si="16"/>
        <v>0</v>
      </c>
      <c r="CA9" s="360">
        <f t="shared" si="17"/>
        <v>0</v>
      </c>
      <c r="CB9" s="360">
        <f t="shared" si="18"/>
        <v>0</v>
      </c>
      <c r="CC9" s="360">
        <f t="shared" si="19"/>
        <v>0</v>
      </c>
      <c r="CD9" s="360">
        <f t="shared" si="20"/>
        <v>0</v>
      </c>
      <c r="CE9" s="360">
        <f t="shared" si="21"/>
        <v>0</v>
      </c>
      <c r="CF9" s="360">
        <f t="shared" si="22"/>
        <v>0</v>
      </c>
      <c r="CG9" s="360">
        <f t="shared" si="23"/>
        <v>0</v>
      </c>
      <c r="CH9" s="360">
        <f t="shared" si="24"/>
        <v>0</v>
      </c>
      <c r="CI9" s="360">
        <f t="shared" si="25"/>
        <v>0</v>
      </c>
      <c r="CJ9" s="360">
        <f t="shared" si="26"/>
        <v>0</v>
      </c>
      <c r="CK9" s="360">
        <f t="shared" si="27"/>
        <v>0</v>
      </c>
      <c r="CL9" s="360">
        <f t="shared" si="28"/>
        <v>0</v>
      </c>
      <c r="CM9" s="360">
        <f t="shared" si="29"/>
        <v>0</v>
      </c>
      <c r="CN9" s="360">
        <f t="shared" si="30"/>
        <v>0</v>
      </c>
      <c r="CO9" s="360">
        <f t="shared" si="31"/>
        <v>0</v>
      </c>
      <c r="CP9" s="360">
        <f t="shared" si="32"/>
        <v>0</v>
      </c>
      <c r="CQ9" s="360">
        <f t="shared" si="33"/>
        <v>0</v>
      </c>
      <c r="CR9" s="360">
        <f t="shared" si="34"/>
        <v>0</v>
      </c>
      <c r="CS9" s="360">
        <f t="shared" si="35"/>
        <v>1913244.192</v>
      </c>
      <c r="CT9" s="360">
        <f t="shared" si="36"/>
        <v>0</v>
      </c>
      <c r="CU9" s="360">
        <f t="shared" si="37"/>
        <v>0</v>
      </c>
      <c r="CV9" s="360">
        <f t="shared" si="38"/>
        <v>0</v>
      </c>
      <c r="CW9" s="360">
        <f t="shared" si="39"/>
        <v>0</v>
      </c>
      <c r="CX9" s="360">
        <f t="shared" si="40"/>
        <v>0</v>
      </c>
      <c r="CY9" s="360">
        <f t="shared" si="41"/>
        <v>337631.32799999998</v>
      </c>
      <c r="CZ9" s="360">
        <f t="shared" si="42"/>
        <v>0</v>
      </c>
      <c r="DA9" s="360">
        <f t="shared" si="43"/>
        <v>0</v>
      </c>
      <c r="DB9" s="360">
        <f t="shared" si="44"/>
        <v>0</v>
      </c>
      <c r="DC9" s="360">
        <f t="shared" si="45"/>
        <v>0</v>
      </c>
      <c r="DD9" s="360">
        <f t="shared" si="46"/>
        <v>0</v>
      </c>
      <c r="DE9" s="360">
        <f t="shared" si="47"/>
        <v>0</v>
      </c>
      <c r="DF9" s="360">
        <f t="shared" si="48"/>
        <v>0</v>
      </c>
      <c r="DG9" s="360">
        <f t="shared" si="49"/>
        <v>0</v>
      </c>
      <c r="DH9" s="360">
        <f t="shared" si="50"/>
        <v>0</v>
      </c>
      <c r="DI9" s="360">
        <f t="shared" si="51"/>
        <v>0</v>
      </c>
    </row>
    <row r="10" spans="1:113" ht="126" x14ac:dyDescent="0.3">
      <c r="A10" s="55" t="s">
        <v>1374</v>
      </c>
      <c r="B10" s="90"/>
      <c r="C10" s="1" t="s">
        <v>1375</v>
      </c>
      <c r="D10" s="265" t="s">
        <v>297</v>
      </c>
      <c r="E10" s="1" t="s">
        <v>1369</v>
      </c>
      <c r="F10" s="94" t="s">
        <v>984</v>
      </c>
      <c r="G10" s="113">
        <v>3500000</v>
      </c>
      <c r="H10" s="114" t="s">
        <v>931</v>
      </c>
      <c r="I10" s="48">
        <v>0</v>
      </c>
      <c r="J10" s="48">
        <f t="shared" si="1"/>
        <v>3500000</v>
      </c>
      <c r="K10" s="118">
        <f t="shared" si="2"/>
        <v>3500000</v>
      </c>
      <c r="L10" s="114" t="s">
        <v>1364</v>
      </c>
      <c r="M10" s="129">
        <f t="shared" si="3"/>
        <v>0</v>
      </c>
      <c r="N10" s="100" t="s">
        <v>334</v>
      </c>
      <c r="O10" s="98"/>
      <c r="P10" s="98"/>
      <c r="Q10" s="98"/>
      <c r="R10" s="9"/>
      <c r="S10" s="9"/>
      <c r="T10" s="103"/>
      <c r="U10" s="242"/>
      <c r="V10" s="242">
        <v>1</v>
      </c>
      <c r="W10" s="226"/>
      <c r="X10" s="226"/>
      <c r="Y10" s="226"/>
      <c r="Z10" s="227"/>
      <c r="AA10" s="96" t="s">
        <v>1376</v>
      </c>
      <c r="AB10" s="1"/>
      <c r="AC10" s="1" t="s">
        <v>1377</v>
      </c>
      <c r="AD10" s="276" t="s">
        <v>382</v>
      </c>
      <c r="AE10" s="1"/>
      <c r="AF10" s="97"/>
      <c r="AG10" s="109"/>
      <c r="AH10" s="163">
        <f>$K$10*'[1]Apportionment %'!C10</f>
        <v>365191.98664440733</v>
      </c>
      <c r="AI10" s="87">
        <f>$K$10*'[1]Apportionment %'!D10</f>
        <v>1265998.8870339454</v>
      </c>
      <c r="AJ10" s="87">
        <f>$K$10*'[1]Apportionment %'!E10</f>
        <v>511268.7813021703</v>
      </c>
      <c r="AK10" s="87">
        <f>$K$10*'[1]Apportionment %'!F10</f>
        <v>392946.57762938231</v>
      </c>
      <c r="AL10" s="87">
        <f>$K$10*'[1]Apportionment %'!G10</f>
        <v>648094.04563160823</v>
      </c>
      <c r="AM10" s="8"/>
      <c r="AN10" s="8"/>
      <c r="AO10" s="87">
        <f>$K$10*'[1]Apportionment %'!J10</f>
        <v>316499.72175848635</v>
      </c>
      <c r="AP10" s="8"/>
      <c r="AQ10" s="8"/>
      <c r="AR10" s="8"/>
      <c r="AS10" s="8"/>
      <c r="AT10" s="8"/>
      <c r="AU10" s="8"/>
      <c r="AV10" s="8"/>
      <c r="AW10" s="8"/>
      <c r="AX10" s="8"/>
      <c r="AY10" s="8"/>
      <c r="AZ10" s="8"/>
      <c r="BA10" s="8"/>
      <c r="BB10" s="8"/>
      <c r="BC10" s="8"/>
      <c r="BD10" s="8"/>
      <c r="BE10" s="8"/>
      <c r="BF10" s="8"/>
      <c r="BG10" s="8"/>
      <c r="BH10" s="8"/>
      <c r="BI10" s="8"/>
      <c r="BJ10" s="8"/>
      <c r="BK10" s="288" t="b">
        <f t="shared" si="0"/>
        <v>1</v>
      </c>
      <c r="BM10" s="356"/>
      <c r="BN10" s="360">
        <f t="shared" si="4"/>
        <v>0</v>
      </c>
      <c r="BO10" s="360">
        <f t="shared" si="5"/>
        <v>365191.98664440733</v>
      </c>
      <c r="BP10" s="360">
        <f t="shared" si="6"/>
        <v>0</v>
      </c>
      <c r="BQ10" s="360">
        <f t="shared" si="7"/>
        <v>0</v>
      </c>
      <c r="BR10" s="360">
        <f t="shared" si="8"/>
        <v>0</v>
      </c>
      <c r="BS10" s="360">
        <f t="shared" si="9"/>
        <v>0</v>
      </c>
      <c r="BT10" s="360">
        <f t="shared" si="10"/>
        <v>0</v>
      </c>
      <c r="BU10" s="360">
        <f t="shared" si="11"/>
        <v>1265998.8870339454</v>
      </c>
      <c r="BV10" s="360">
        <f t="shared" si="12"/>
        <v>0</v>
      </c>
      <c r="BW10" s="360">
        <f t="shared" si="13"/>
        <v>0</v>
      </c>
      <c r="BX10" s="360">
        <f t="shared" si="14"/>
        <v>0</v>
      </c>
      <c r="BY10" s="360">
        <f t="shared" si="15"/>
        <v>0</v>
      </c>
      <c r="BZ10" s="360">
        <f t="shared" si="16"/>
        <v>0</v>
      </c>
      <c r="CA10" s="360">
        <f t="shared" si="17"/>
        <v>511268.7813021703</v>
      </c>
      <c r="CB10" s="360">
        <f t="shared" si="18"/>
        <v>0</v>
      </c>
      <c r="CC10" s="360">
        <f t="shared" si="19"/>
        <v>0</v>
      </c>
      <c r="CD10" s="360">
        <f t="shared" si="20"/>
        <v>0</v>
      </c>
      <c r="CE10" s="360">
        <f t="shared" si="21"/>
        <v>0</v>
      </c>
      <c r="CF10" s="360">
        <f t="shared" si="22"/>
        <v>0</v>
      </c>
      <c r="CG10" s="360">
        <f t="shared" si="23"/>
        <v>392946.57762938231</v>
      </c>
      <c r="CH10" s="360">
        <f t="shared" si="24"/>
        <v>0</v>
      </c>
      <c r="CI10" s="360">
        <f t="shared" si="25"/>
        <v>0</v>
      </c>
      <c r="CJ10" s="360">
        <f t="shared" si="26"/>
        <v>0</v>
      </c>
      <c r="CK10" s="360">
        <f t="shared" si="27"/>
        <v>0</v>
      </c>
      <c r="CL10" s="360">
        <f t="shared" si="28"/>
        <v>0</v>
      </c>
      <c r="CM10" s="360">
        <f t="shared" si="29"/>
        <v>648094.04563160823</v>
      </c>
      <c r="CN10" s="360">
        <f t="shared" si="30"/>
        <v>0</v>
      </c>
      <c r="CO10" s="360">
        <f t="shared" si="31"/>
        <v>0</v>
      </c>
      <c r="CP10" s="360">
        <f t="shared" si="32"/>
        <v>0</v>
      </c>
      <c r="CQ10" s="360">
        <f t="shared" si="33"/>
        <v>0</v>
      </c>
      <c r="CR10" s="360">
        <f t="shared" si="34"/>
        <v>0</v>
      </c>
      <c r="CS10" s="360">
        <f t="shared" si="35"/>
        <v>0</v>
      </c>
      <c r="CT10" s="360">
        <f t="shared" si="36"/>
        <v>0</v>
      </c>
      <c r="CU10" s="360">
        <f t="shared" si="37"/>
        <v>0</v>
      </c>
      <c r="CV10" s="360">
        <f t="shared" si="38"/>
        <v>0</v>
      </c>
      <c r="CW10" s="360">
        <f t="shared" si="39"/>
        <v>0</v>
      </c>
      <c r="CX10" s="360">
        <f t="shared" si="40"/>
        <v>0</v>
      </c>
      <c r="CY10" s="360">
        <f t="shared" si="41"/>
        <v>0</v>
      </c>
      <c r="CZ10" s="360">
        <f t="shared" si="42"/>
        <v>0</v>
      </c>
      <c r="DA10" s="360">
        <f t="shared" si="43"/>
        <v>0</v>
      </c>
      <c r="DB10" s="360">
        <f t="shared" si="44"/>
        <v>0</v>
      </c>
      <c r="DC10" s="360">
        <f t="shared" si="45"/>
        <v>0</v>
      </c>
      <c r="DD10" s="360">
        <f t="shared" si="46"/>
        <v>0</v>
      </c>
      <c r="DE10" s="360">
        <f t="shared" si="47"/>
        <v>316499.72175848635</v>
      </c>
      <c r="DF10" s="360">
        <f t="shared" si="48"/>
        <v>0</v>
      </c>
      <c r="DG10" s="360">
        <f t="shared" si="49"/>
        <v>0</v>
      </c>
      <c r="DH10" s="360">
        <f t="shared" si="50"/>
        <v>0</v>
      </c>
      <c r="DI10" s="360">
        <f t="shared" si="51"/>
        <v>0</v>
      </c>
    </row>
    <row r="11" spans="1:113" ht="28" x14ac:dyDescent="0.3">
      <c r="A11" s="55" t="s">
        <v>1378</v>
      </c>
      <c r="B11" s="90"/>
      <c r="C11" s="1" t="s">
        <v>1379</v>
      </c>
      <c r="D11" s="265" t="s">
        <v>297</v>
      </c>
      <c r="E11" s="1" t="s">
        <v>1380</v>
      </c>
      <c r="F11" s="94" t="s">
        <v>984</v>
      </c>
      <c r="G11" s="113">
        <f>SUM(AH11:BI11)</f>
        <v>1768500</v>
      </c>
      <c r="H11" s="114" t="s">
        <v>1381</v>
      </c>
      <c r="I11" s="48">
        <v>0</v>
      </c>
      <c r="J11" s="48">
        <f t="shared" si="1"/>
        <v>1768500</v>
      </c>
      <c r="K11" s="118">
        <f>J11</f>
        <v>1768500</v>
      </c>
      <c r="L11" s="114" t="s">
        <v>1364</v>
      </c>
      <c r="M11" s="129">
        <f>J11-K11</f>
        <v>0</v>
      </c>
      <c r="N11" s="100" t="s">
        <v>421</v>
      </c>
      <c r="O11" s="98"/>
      <c r="P11" s="98"/>
      <c r="Q11" s="98"/>
      <c r="R11" s="98"/>
      <c r="S11" s="98"/>
      <c r="T11" s="160"/>
      <c r="U11" s="242">
        <f>[1]Phasing!D34</f>
        <v>6.7676767676767682E-2</v>
      </c>
      <c r="V11" s="242">
        <f>[1]Phasing!E34</f>
        <v>0.25656565656565655</v>
      </c>
      <c r="W11" s="242">
        <f>[1]Phasing!F34</f>
        <v>0.25454545454545452</v>
      </c>
      <c r="X11" s="242">
        <f>[1]Phasing!G34</f>
        <v>9.0909090909090912E-2</v>
      </c>
      <c r="Y11" s="242">
        <f>[1]Phasing!H34</f>
        <v>9.0909090909090912E-2</v>
      </c>
      <c r="Z11" s="247">
        <f>[1]Phasing!I34</f>
        <v>0.23939393939393938</v>
      </c>
      <c r="AA11" s="96"/>
      <c r="AB11" s="1"/>
      <c r="AC11" s="1" t="s">
        <v>1009</v>
      </c>
      <c r="AD11" s="1" t="s">
        <v>371</v>
      </c>
      <c r="AE11" s="1"/>
      <c r="AF11" s="405" t="s">
        <v>461</v>
      </c>
      <c r="AG11" s="94" t="s">
        <v>875</v>
      </c>
      <c r="AH11" s="163">
        <f>'[1]Apportionment %'!C4*100</f>
        <v>75000</v>
      </c>
      <c r="AI11" s="87">
        <f>'[1]Apportionment %'!D4*100</f>
        <v>260000</v>
      </c>
      <c r="AJ11" s="87">
        <f>'[1]Apportionment %'!E4*100</f>
        <v>105000</v>
      </c>
      <c r="AK11" s="87">
        <f>'[1]Apportionment %'!F4*100</f>
        <v>80700</v>
      </c>
      <c r="AL11" s="87">
        <f>'[1]Apportionment %'!G4*100</f>
        <v>133100</v>
      </c>
      <c r="AM11" s="87">
        <f>'[1]Apportionment %'!H4*100</f>
        <v>850000</v>
      </c>
      <c r="AN11" s="87">
        <f>'[1]Apportionment %'!I4*100</f>
        <v>150000</v>
      </c>
      <c r="AO11" s="87">
        <f>'[1]Apportionment %'!J4*100</f>
        <v>65000</v>
      </c>
      <c r="AP11" s="87">
        <f>'[1]Apportionment %'!K4*100</f>
        <v>7000</v>
      </c>
      <c r="AQ11" s="87">
        <f>'[1]Apportionment %'!L4*100</f>
        <v>6900</v>
      </c>
      <c r="AR11" s="87">
        <f>'[1]Apportionment %'!M4*100</f>
        <v>4200</v>
      </c>
      <c r="AS11" s="87">
        <f>'[1]Apportionment %'!N4*100</f>
        <v>3600</v>
      </c>
      <c r="AT11" s="87">
        <f>'[1]Apportionment %'!O4*100</f>
        <v>3500</v>
      </c>
      <c r="AU11" s="87">
        <f>'[1]Apportionment %'!P4*100</f>
        <v>3500</v>
      </c>
      <c r="AV11" s="87">
        <f>'[1]Apportionment %'!Q4*100</f>
        <v>3500</v>
      </c>
      <c r="AW11" s="87">
        <f>'[1]Apportionment %'!R4*100</f>
        <v>2300</v>
      </c>
      <c r="AX11" s="87">
        <f>'[1]Apportionment %'!S4*100</f>
        <v>2000</v>
      </c>
      <c r="AY11" s="87">
        <f>'[1]Apportionment %'!T4*100</f>
        <v>1600</v>
      </c>
      <c r="AZ11" s="87">
        <f>'[1]Apportionment %'!U4*100</f>
        <v>1600</v>
      </c>
      <c r="BA11" s="87">
        <f>'[1]Apportionment %'!V4*100</f>
        <v>1500</v>
      </c>
      <c r="BB11" s="87">
        <f>'[1]Apportionment %'!W4*100</f>
        <v>1300</v>
      </c>
      <c r="BC11" s="87">
        <f>'[1]Apportionment %'!X4*100</f>
        <v>1200</v>
      </c>
      <c r="BD11" s="87">
        <f>'[1]Apportionment %'!Y4*100</f>
        <v>1000</v>
      </c>
      <c r="BE11" s="87">
        <f>'[1]Apportionment %'!Z4*100</f>
        <v>1000</v>
      </c>
      <c r="BF11" s="87">
        <f>'[1]Apportionment %'!AA4*100</f>
        <v>1000</v>
      </c>
      <c r="BG11" s="87">
        <f>'[1]Apportionment %'!AB4*100</f>
        <v>1000</v>
      </c>
      <c r="BH11" s="87">
        <f>'[1]Apportionment %'!AC4*100</f>
        <v>1000</v>
      </c>
      <c r="BI11" s="87">
        <f>'[1]Apportionment %'!AD4*100</f>
        <v>1000</v>
      </c>
      <c r="BJ11" s="8"/>
      <c r="BK11" s="288" t="b">
        <f t="shared" si="0"/>
        <v>1</v>
      </c>
      <c r="BM11" s="356"/>
      <c r="BN11" s="360">
        <f t="shared" si="4"/>
        <v>5075.757575757576</v>
      </c>
      <c r="BO11" s="360">
        <f t="shared" si="5"/>
        <v>19242.42424242424</v>
      </c>
      <c r="BP11" s="360">
        <f t="shared" si="6"/>
        <v>19090.909090909088</v>
      </c>
      <c r="BQ11" s="360">
        <f t="shared" si="7"/>
        <v>6818.181818181818</v>
      </c>
      <c r="BR11" s="360">
        <f t="shared" si="8"/>
        <v>6818.181818181818</v>
      </c>
      <c r="BS11" s="360">
        <f t="shared" si="9"/>
        <v>17954.545454545452</v>
      </c>
      <c r="BT11" s="360">
        <f t="shared" si="10"/>
        <v>17595.959595959597</v>
      </c>
      <c r="BU11" s="360">
        <f t="shared" si="11"/>
        <v>66707.070707070699</v>
      </c>
      <c r="BV11" s="360">
        <f t="shared" si="12"/>
        <v>66181.818181818177</v>
      </c>
      <c r="BW11" s="360">
        <f t="shared" si="13"/>
        <v>23636.363636363636</v>
      </c>
      <c r="BX11" s="360">
        <f t="shared" si="14"/>
        <v>23636.363636363636</v>
      </c>
      <c r="BY11" s="360">
        <f t="shared" si="15"/>
        <v>62242.42424242424</v>
      </c>
      <c r="BZ11" s="360">
        <f t="shared" si="16"/>
        <v>7106.0606060606069</v>
      </c>
      <c r="CA11" s="360">
        <f t="shared" si="17"/>
        <v>26939.393939393936</v>
      </c>
      <c r="CB11" s="360">
        <f t="shared" si="18"/>
        <v>26727.272727272724</v>
      </c>
      <c r="CC11" s="360">
        <f t="shared" si="19"/>
        <v>9545.454545454546</v>
      </c>
      <c r="CD11" s="360">
        <f t="shared" si="20"/>
        <v>9545.454545454546</v>
      </c>
      <c r="CE11" s="360">
        <f t="shared" si="21"/>
        <v>25136.363636363636</v>
      </c>
      <c r="CF11" s="360">
        <f t="shared" si="22"/>
        <v>5461.515151515152</v>
      </c>
      <c r="CG11" s="360">
        <f t="shared" si="23"/>
        <v>20704.848484848484</v>
      </c>
      <c r="CH11" s="360">
        <f t="shared" si="24"/>
        <v>20541.81818181818</v>
      </c>
      <c r="CI11" s="360">
        <f t="shared" si="25"/>
        <v>7336.3636363636369</v>
      </c>
      <c r="CJ11" s="360">
        <f t="shared" si="26"/>
        <v>7336.3636363636369</v>
      </c>
      <c r="CK11" s="360">
        <f t="shared" si="27"/>
        <v>19319.090909090908</v>
      </c>
      <c r="CL11" s="360">
        <f t="shared" si="28"/>
        <v>9007.7777777777792</v>
      </c>
      <c r="CM11" s="360">
        <f t="shared" si="29"/>
        <v>34148.888888888891</v>
      </c>
      <c r="CN11" s="360">
        <f t="shared" si="30"/>
        <v>33880</v>
      </c>
      <c r="CO11" s="360">
        <f t="shared" si="31"/>
        <v>12100</v>
      </c>
      <c r="CP11" s="360">
        <f t="shared" si="32"/>
        <v>12100</v>
      </c>
      <c r="CQ11" s="360">
        <f t="shared" si="33"/>
        <v>31863.333333333332</v>
      </c>
      <c r="CR11" s="360">
        <f t="shared" si="34"/>
        <v>57525.25252525253</v>
      </c>
      <c r="CS11" s="360">
        <f t="shared" si="35"/>
        <v>218080.80808080806</v>
      </c>
      <c r="CT11" s="360">
        <f t="shared" si="36"/>
        <v>216363.63636363635</v>
      </c>
      <c r="CU11" s="360">
        <f t="shared" si="37"/>
        <v>77272.727272727279</v>
      </c>
      <c r="CV11" s="360">
        <f t="shared" si="38"/>
        <v>77272.727272727279</v>
      </c>
      <c r="CW11" s="360">
        <f t="shared" si="39"/>
        <v>203484.84848484848</v>
      </c>
      <c r="CX11" s="360">
        <f t="shared" si="40"/>
        <v>10151.515151515152</v>
      </c>
      <c r="CY11" s="360">
        <f t="shared" si="41"/>
        <v>38484.84848484848</v>
      </c>
      <c r="CZ11" s="360">
        <f t="shared" si="42"/>
        <v>38181.818181818177</v>
      </c>
      <c r="DA11" s="360">
        <f t="shared" si="43"/>
        <v>13636.363636363636</v>
      </c>
      <c r="DB11" s="360">
        <f t="shared" si="44"/>
        <v>13636.363636363636</v>
      </c>
      <c r="DC11" s="360">
        <f t="shared" si="45"/>
        <v>35909.090909090904</v>
      </c>
      <c r="DD11" s="360">
        <f t="shared" si="46"/>
        <v>4398.9898989898993</v>
      </c>
      <c r="DE11" s="360">
        <f t="shared" si="47"/>
        <v>16676.767676767675</v>
      </c>
      <c r="DF11" s="360">
        <f t="shared" si="48"/>
        <v>16545.454545454544</v>
      </c>
      <c r="DG11" s="360">
        <f t="shared" si="49"/>
        <v>5909.090909090909</v>
      </c>
      <c r="DH11" s="360">
        <f t="shared" si="50"/>
        <v>5909.090909090909</v>
      </c>
      <c r="DI11" s="360">
        <f t="shared" si="51"/>
        <v>15560.60606060606</v>
      </c>
    </row>
    <row r="12" spans="1:113" ht="28" x14ac:dyDescent="0.3">
      <c r="A12" s="55" t="s">
        <v>1382</v>
      </c>
      <c r="B12" s="90"/>
      <c r="C12" s="1" t="s">
        <v>1383</v>
      </c>
      <c r="D12" s="265" t="s">
        <v>297</v>
      </c>
      <c r="E12" s="1" t="s">
        <v>1384</v>
      </c>
      <c r="F12" s="94" t="s">
        <v>984</v>
      </c>
      <c r="G12" s="113">
        <v>75000</v>
      </c>
      <c r="H12" s="114" t="s">
        <v>1381</v>
      </c>
      <c r="I12" s="48">
        <v>0</v>
      </c>
      <c r="J12" s="48">
        <f>G12</f>
        <v>75000</v>
      </c>
      <c r="K12" s="118">
        <f>J12</f>
        <v>75000</v>
      </c>
      <c r="L12" s="114" t="s">
        <v>1364</v>
      </c>
      <c r="M12" s="129">
        <f>J12-K12</f>
        <v>0</v>
      </c>
      <c r="N12" s="131" t="s">
        <v>371</v>
      </c>
      <c r="O12" s="11"/>
      <c r="P12" s="11"/>
      <c r="Q12" s="11"/>
      <c r="R12" s="11"/>
      <c r="S12" s="11"/>
      <c r="T12" s="134"/>
      <c r="U12" s="242">
        <f>[1]Phasing!D34</f>
        <v>6.7676767676767682E-2</v>
      </c>
      <c r="V12" s="242">
        <f>[1]Phasing!E34</f>
        <v>0.25656565656565655</v>
      </c>
      <c r="W12" s="242">
        <f>[1]Phasing!F34</f>
        <v>0.25454545454545452</v>
      </c>
      <c r="X12" s="242">
        <f>[1]Phasing!G34</f>
        <v>9.0909090909090912E-2</v>
      </c>
      <c r="Y12" s="242">
        <f>[1]Phasing!H34</f>
        <v>9.0909090909090912E-2</v>
      </c>
      <c r="Z12" s="247">
        <f>[1]Phasing!I34</f>
        <v>0.23939393939393938</v>
      </c>
      <c r="AA12" s="96"/>
      <c r="AB12" s="1"/>
      <c r="AC12" s="1" t="s">
        <v>1009</v>
      </c>
      <c r="AD12" s="1" t="s">
        <v>371</v>
      </c>
      <c r="AE12" s="1"/>
      <c r="AF12" s="405" t="s">
        <v>461</v>
      </c>
      <c r="AG12" s="109" t="s">
        <v>1373</v>
      </c>
      <c r="AH12" s="163">
        <f>$K$12*'[1]Apportionment %'!C18</f>
        <v>3180.6615776081421</v>
      </c>
      <c r="AI12" s="163">
        <f>$K$12*'[1]Apportionment %'!D18</f>
        <v>11026.29346904156</v>
      </c>
      <c r="AJ12" s="163">
        <f>$K$12*'[1]Apportionment %'!E18</f>
        <v>4452.9262086514</v>
      </c>
      <c r="AK12" s="163">
        <f>$K$12*'[1]Apportionment %'!F18</f>
        <v>3422.3918575063612</v>
      </c>
      <c r="AL12" s="163">
        <f>$K$12*'[1]Apportionment %'!G18</f>
        <v>5644.6140797285843</v>
      </c>
      <c r="AM12" s="163">
        <f>$K$12*'[1]Apportionment %'!H18</f>
        <v>36047.497879558949</v>
      </c>
      <c r="AN12" s="163">
        <f>$K$12*'[1]Apportionment %'!I18</f>
        <v>6361.3231552162842</v>
      </c>
      <c r="AO12" s="163">
        <f>$K$12*'[1]Apportionment %'!J18</f>
        <v>2756.5733672603901</v>
      </c>
      <c r="AP12" s="163">
        <f>$K$12*'[1]Apportionment %'!K18</f>
        <v>296.86174724342663</v>
      </c>
      <c r="AQ12" s="163">
        <f>$K$12*'[1]Apportionment %'!L18</f>
        <v>292.6208651399491</v>
      </c>
      <c r="AR12" s="163">
        <f>$K$12*'[1]Apportionment %'!M18</f>
        <v>178.11704834605598</v>
      </c>
      <c r="AS12" s="163">
        <f>$K$12*'[1]Apportionment %'!N18</f>
        <v>152.67175572519085</v>
      </c>
      <c r="AT12" s="163">
        <f>$K$12*'[1]Apportionment %'!O18</f>
        <v>148.43087362171332</v>
      </c>
      <c r="AU12" s="163">
        <f>$K$12*'[1]Apportionment %'!P18</f>
        <v>148.43087362171332</v>
      </c>
      <c r="AV12" s="163">
        <f>$K$12*'[1]Apportionment %'!Q18</f>
        <v>148.43087362171332</v>
      </c>
      <c r="AW12" s="163">
        <f>$K$12*'[1]Apportionment %'!R18</f>
        <v>97.540288379983025</v>
      </c>
      <c r="AX12" s="163">
        <f>$K$12*'[1]Apportionment %'!S18</f>
        <v>84.817642069550459</v>
      </c>
      <c r="AY12" s="163">
        <f>$K$12*'[1]Apportionment %'!T18</f>
        <v>67.854113655640376</v>
      </c>
      <c r="AZ12" s="163">
        <f>$K$12*'[1]Apportionment %'!U18</f>
        <v>67.854113655640376</v>
      </c>
      <c r="BA12" s="163">
        <f>$K$12*'[1]Apportionment %'!V18</f>
        <v>63.613231552162851</v>
      </c>
      <c r="BB12" s="163">
        <f>$K$12*'[1]Apportionment %'!W18</f>
        <v>55.131467345207803</v>
      </c>
      <c r="BC12" s="163">
        <f>$K$12*'[1]Apportionment %'!X18</f>
        <v>50.890585241730278</v>
      </c>
      <c r="BD12" s="163">
        <f>$K$12*'[1]Apportionment %'!Y18</f>
        <v>42.408821034775229</v>
      </c>
      <c r="BE12" s="163">
        <f>$K$12*'[1]Apportionment %'!Z18</f>
        <v>42.408821034775229</v>
      </c>
      <c r="BF12" s="163">
        <f>$K$12*'[1]Apportionment %'!AA18</f>
        <v>42.408821034775229</v>
      </c>
      <c r="BG12" s="163">
        <f>$K$12*'[1]Apportionment %'!AB18</f>
        <v>42.408821034775229</v>
      </c>
      <c r="BH12" s="163">
        <f>$K$12*'[1]Apportionment %'!AC18</f>
        <v>42.408821034775229</v>
      </c>
      <c r="BI12" s="163">
        <f>$K$12*'[1]Apportionment %'!AD18</f>
        <v>42.408821034775229</v>
      </c>
      <c r="BJ12" s="8"/>
      <c r="BK12" s="288" t="b">
        <f t="shared" si="0"/>
        <v>1</v>
      </c>
      <c r="BM12" s="356"/>
      <c r="BN12" s="360">
        <f t="shared" si="4"/>
        <v>215.25689464620763</v>
      </c>
      <c r="BO12" s="360">
        <f t="shared" si="5"/>
        <v>816.04852597218996</v>
      </c>
      <c r="BP12" s="360">
        <f t="shared" si="6"/>
        <v>809.62294702752695</v>
      </c>
      <c r="BQ12" s="360">
        <f t="shared" si="7"/>
        <v>289.15105250983112</v>
      </c>
      <c r="BR12" s="360">
        <f t="shared" si="8"/>
        <v>289.15105250983112</v>
      </c>
      <c r="BS12" s="360">
        <f t="shared" si="9"/>
        <v>761.43110494255518</v>
      </c>
      <c r="BT12" s="360">
        <f t="shared" si="10"/>
        <v>746.22390144018652</v>
      </c>
      <c r="BU12" s="360">
        <f t="shared" si="11"/>
        <v>2828.9682233702588</v>
      </c>
      <c r="BV12" s="360">
        <f t="shared" si="12"/>
        <v>2806.6928830287607</v>
      </c>
      <c r="BW12" s="360">
        <f t="shared" si="13"/>
        <v>1002.3903153674146</v>
      </c>
      <c r="BX12" s="360">
        <f t="shared" si="14"/>
        <v>1002.3903153674146</v>
      </c>
      <c r="BY12" s="360">
        <f t="shared" si="15"/>
        <v>2639.6278304675247</v>
      </c>
      <c r="BZ12" s="360">
        <f t="shared" si="16"/>
        <v>301.35965250469076</v>
      </c>
      <c r="CA12" s="360">
        <f t="shared" si="17"/>
        <v>1142.4679363610662</v>
      </c>
      <c r="CB12" s="360">
        <f t="shared" si="18"/>
        <v>1133.472125838538</v>
      </c>
      <c r="CC12" s="360">
        <f t="shared" si="19"/>
        <v>404.81147351376364</v>
      </c>
      <c r="CD12" s="360">
        <f t="shared" si="20"/>
        <v>404.81147351376364</v>
      </c>
      <c r="CE12" s="360">
        <f t="shared" si="21"/>
        <v>1066.0035469195775</v>
      </c>
      <c r="CF12" s="360">
        <f t="shared" si="22"/>
        <v>231.61641863931942</v>
      </c>
      <c r="CG12" s="360">
        <f t="shared" si="23"/>
        <v>878.06821394607653</v>
      </c>
      <c r="CH12" s="360">
        <f t="shared" si="24"/>
        <v>871.15429100161919</v>
      </c>
      <c r="CI12" s="360">
        <f t="shared" si="25"/>
        <v>311.12653250057832</v>
      </c>
      <c r="CJ12" s="360">
        <f t="shared" si="26"/>
        <v>311.12653250057832</v>
      </c>
      <c r="CK12" s="360">
        <f t="shared" si="27"/>
        <v>819.29986891818942</v>
      </c>
      <c r="CL12" s="360">
        <f t="shared" si="28"/>
        <v>382.0092356988032</v>
      </c>
      <c r="CM12" s="360">
        <f t="shared" si="29"/>
        <v>1448.2141174253136</v>
      </c>
      <c r="CN12" s="360">
        <f t="shared" si="30"/>
        <v>1436.810856658185</v>
      </c>
      <c r="CO12" s="360">
        <f t="shared" si="31"/>
        <v>513.14673452078046</v>
      </c>
      <c r="CP12" s="360">
        <f t="shared" si="32"/>
        <v>513.14673452078046</v>
      </c>
      <c r="CQ12" s="360">
        <f t="shared" si="33"/>
        <v>1351.2864009047216</v>
      </c>
      <c r="CR12" s="360">
        <f t="shared" si="34"/>
        <v>2439.5781393236866</v>
      </c>
      <c r="CS12" s="360">
        <f t="shared" si="35"/>
        <v>9248.5499610181541</v>
      </c>
      <c r="CT12" s="360">
        <f t="shared" si="36"/>
        <v>9175.7267329786409</v>
      </c>
      <c r="CU12" s="360">
        <f t="shared" si="37"/>
        <v>3277.0452617780861</v>
      </c>
      <c r="CV12" s="360">
        <f t="shared" si="38"/>
        <v>3277.0452617780861</v>
      </c>
      <c r="CW12" s="360">
        <f t="shared" si="39"/>
        <v>8629.5525226822938</v>
      </c>
      <c r="CX12" s="360">
        <f t="shared" si="40"/>
        <v>430.51378929241525</v>
      </c>
      <c r="CY12" s="360">
        <f t="shared" si="41"/>
        <v>1632.0970519443799</v>
      </c>
      <c r="CZ12" s="360">
        <f t="shared" si="42"/>
        <v>1619.2458940550539</v>
      </c>
      <c r="DA12" s="360">
        <f t="shared" si="43"/>
        <v>578.30210501966224</v>
      </c>
      <c r="DB12" s="360">
        <f t="shared" si="44"/>
        <v>578.30210501966224</v>
      </c>
      <c r="DC12" s="360">
        <f t="shared" si="45"/>
        <v>1522.8622098851104</v>
      </c>
      <c r="DD12" s="360">
        <f t="shared" si="46"/>
        <v>186.55597536004663</v>
      </c>
      <c r="DE12" s="360">
        <f t="shared" si="47"/>
        <v>707.2420558425647</v>
      </c>
      <c r="DF12" s="360">
        <f t="shared" si="48"/>
        <v>701.67322075719017</v>
      </c>
      <c r="DG12" s="360">
        <f t="shared" si="49"/>
        <v>250.59757884185365</v>
      </c>
      <c r="DH12" s="360">
        <f t="shared" si="50"/>
        <v>250.59757884185365</v>
      </c>
      <c r="DI12" s="360">
        <f t="shared" si="51"/>
        <v>659.90695761688119</v>
      </c>
    </row>
    <row r="13" spans="1:113" ht="70" x14ac:dyDescent="0.3">
      <c r="A13" s="55" t="s">
        <v>1385</v>
      </c>
      <c r="B13" s="90"/>
      <c r="C13" s="1" t="s">
        <v>1386</v>
      </c>
      <c r="D13" s="265" t="s">
        <v>297</v>
      </c>
      <c r="E13" s="1" t="s">
        <v>1384</v>
      </c>
      <c r="F13" s="94" t="s">
        <v>984</v>
      </c>
      <c r="G13" s="113">
        <v>500000</v>
      </c>
      <c r="H13" s="114" t="s">
        <v>1381</v>
      </c>
      <c r="I13" s="48">
        <v>0</v>
      </c>
      <c r="J13" s="48">
        <f>G13</f>
        <v>500000</v>
      </c>
      <c r="K13" s="118">
        <f>J13</f>
        <v>500000</v>
      </c>
      <c r="L13" s="114" t="s">
        <v>1364</v>
      </c>
      <c r="M13" s="129">
        <f>J13-K13</f>
        <v>0</v>
      </c>
      <c r="N13" s="131" t="s">
        <v>371</v>
      </c>
      <c r="O13" s="11"/>
      <c r="P13" s="11"/>
      <c r="Q13" s="11"/>
      <c r="R13" s="11"/>
      <c r="S13" s="11"/>
      <c r="T13" s="134"/>
      <c r="U13" s="242">
        <f>[1]Phasing!D34</f>
        <v>6.7676767676767682E-2</v>
      </c>
      <c r="V13" s="242">
        <f>[1]Phasing!E34</f>
        <v>0.25656565656565655</v>
      </c>
      <c r="W13" s="242">
        <f>[1]Phasing!F34</f>
        <v>0.25454545454545452</v>
      </c>
      <c r="X13" s="242">
        <f>[1]Phasing!G34</f>
        <v>9.0909090909090912E-2</v>
      </c>
      <c r="Y13" s="242">
        <f>[1]Phasing!H34</f>
        <v>9.0909090909090912E-2</v>
      </c>
      <c r="Z13" s="247">
        <f>[1]Phasing!I34</f>
        <v>0.23939393939393938</v>
      </c>
      <c r="AA13" s="96" t="s">
        <v>1387</v>
      </c>
      <c r="AB13" s="1"/>
      <c r="AC13" s="1" t="s">
        <v>1009</v>
      </c>
      <c r="AD13" s="1" t="s">
        <v>371</v>
      </c>
      <c r="AE13" s="1"/>
      <c r="AF13" s="97" t="s">
        <v>242</v>
      </c>
      <c r="AG13" s="109" t="s">
        <v>1373</v>
      </c>
      <c r="AH13" s="163">
        <f>$K$13*'[1]Apportionment %'!C18</f>
        <v>21204.410517387616</v>
      </c>
      <c r="AI13" s="163">
        <f>$K$13*'[1]Apportionment %'!D18</f>
        <v>73508.623126943741</v>
      </c>
      <c r="AJ13" s="163">
        <f>$K$13*'[1]Apportionment %'!E18</f>
        <v>29686.174724342665</v>
      </c>
      <c r="AK13" s="163">
        <f>$K$13*'[1]Apportionment %'!F18</f>
        <v>22815.945716709073</v>
      </c>
      <c r="AL13" s="163">
        <f>$K$13*'[1]Apportionment %'!G18</f>
        <v>37630.760531523891</v>
      </c>
      <c r="AM13" s="163">
        <f>$K$13*'[1]Apportionment %'!H18</f>
        <v>240316.65253039301</v>
      </c>
      <c r="AN13" s="163">
        <f>$K$13*'[1]Apportionment %'!I18</f>
        <v>42408.821034775232</v>
      </c>
      <c r="AO13" s="163">
        <f>$K$13*'[1]Apportionment %'!J18</f>
        <v>18377.155781735935</v>
      </c>
      <c r="AP13" s="163">
        <f>$K$13*'[1]Apportionment %'!K18</f>
        <v>1979.0783149561776</v>
      </c>
      <c r="AQ13" s="163">
        <f>$K$13*'[1]Apportionment %'!L18</f>
        <v>1950.8057675996608</v>
      </c>
      <c r="AR13" s="163">
        <f>$K$13*'[1]Apportionment %'!M18</f>
        <v>1187.4469889737065</v>
      </c>
      <c r="AS13" s="163">
        <f>$K$13*'[1]Apportionment %'!N18</f>
        <v>1017.8117048346056</v>
      </c>
      <c r="AT13" s="163">
        <f>$K$13*'[1]Apportionment %'!O18</f>
        <v>989.53915747808878</v>
      </c>
      <c r="AU13" s="163">
        <f>$K$13*'[1]Apportionment %'!P18</f>
        <v>989.53915747808878</v>
      </c>
      <c r="AV13" s="163">
        <f>$K$13*'[1]Apportionment %'!Q18</f>
        <v>989.53915747808878</v>
      </c>
      <c r="AW13" s="163">
        <f>$K$13*'[1]Apportionment %'!R18</f>
        <v>650.26858919988683</v>
      </c>
      <c r="AX13" s="163">
        <f>$K$13*'[1]Apportionment %'!S18</f>
        <v>565.45094713033643</v>
      </c>
      <c r="AY13" s="163">
        <f>$K$13*'[1]Apportionment %'!T18</f>
        <v>452.36075770426913</v>
      </c>
      <c r="AZ13" s="163">
        <f>$K$13*'[1]Apportionment %'!U18</f>
        <v>452.36075770426913</v>
      </c>
      <c r="BA13" s="163">
        <f>$K$13*'[1]Apportionment %'!V18</f>
        <v>424.08821034775235</v>
      </c>
      <c r="BB13" s="163">
        <f>$K$13*'[1]Apportionment %'!W18</f>
        <v>367.54311563471867</v>
      </c>
      <c r="BC13" s="163">
        <f>$K$13*'[1]Apportionment %'!X18</f>
        <v>339.27056827820184</v>
      </c>
      <c r="BD13" s="163">
        <f>$K$13*'[1]Apportionment %'!Y18</f>
        <v>282.72547356516822</v>
      </c>
      <c r="BE13" s="163">
        <f>$K$13*'[1]Apportionment %'!Z18</f>
        <v>282.72547356516822</v>
      </c>
      <c r="BF13" s="163">
        <f>$K$13*'[1]Apportionment %'!AA18</f>
        <v>282.72547356516822</v>
      </c>
      <c r="BG13" s="163">
        <f>$K$13*'[1]Apportionment %'!AB18</f>
        <v>282.72547356516822</v>
      </c>
      <c r="BH13" s="163">
        <f>$K$13*'[1]Apportionment %'!AC18</f>
        <v>282.72547356516822</v>
      </c>
      <c r="BI13" s="163">
        <f>$K$13*'[1]Apportionment %'!AD18</f>
        <v>282.72547356516822</v>
      </c>
      <c r="BJ13" s="8"/>
      <c r="BK13" s="288" t="b">
        <f t="shared" si="0"/>
        <v>1</v>
      </c>
      <c r="BM13" s="356"/>
      <c r="BN13" s="360">
        <f t="shared" si="4"/>
        <v>1435.045964308051</v>
      </c>
      <c r="BO13" s="360">
        <f t="shared" si="5"/>
        <v>5440.323506481267</v>
      </c>
      <c r="BP13" s="360">
        <f t="shared" si="6"/>
        <v>5397.4863135168471</v>
      </c>
      <c r="BQ13" s="360">
        <f t="shared" si="7"/>
        <v>1927.6736833988743</v>
      </c>
      <c r="BR13" s="360">
        <f t="shared" si="8"/>
        <v>1927.6736833988743</v>
      </c>
      <c r="BS13" s="360">
        <f t="shared" si="9"/>
        <v>5076.207366283702</v>
      </c>
      <c r="BT13" s="360">
        <f t="shared" si="10"/>
        <v>4974.8260096012436</v>
      </c>
      <c r="BU13" s="360">
        <f t="shared" si="11"/>
        <v>18859.788155801725</v>
      </c>
      <c r="BV13" s="360">
        <f t="shared" si="12"/>
        <v>18711.285886858404</v>
      </c>
      <c r="BW13" s="360">
        <f t="shared" si="13"/>
        <v>6682.6021024494312</v>
      </c>
      <c r="BX13" s="360">
        <f t="shared" si="14"/>
        <v>6682.6021024494312</v>
      </c>
      <c r="BY13" s="360">
        <f t="shared" si="15"/>
        <v>17597.5188697835</v>
      </c>
      <c r="BZ13" s="360">
        <f t="shared" si="16"/>
        <v>2009.0643500312715</v>
      </c>
      <c r="CA13" s="360">
        <f t="shared" si="17"/>
        <v>7616.4529090737742</v>
      </c>
      <c r="CB13" s="360">
        <f t="shared" si="18"/>
        <v>7556.4808389235868</v>
      </c>
      <c r="CC13" s="360">
        <f t="shared" si="19"/>
        <v>2698.743156758424</v>
      </c>
      <c r="CD13" s="360">
        <f t="shared" si="20"/>
        <v>2698.743156758424</v>
      </c>
      <c r="CE13" s="360">
        <f t="shared" si="21"/>
        <v>7106.6903127971827</v>
      </c>
      <c r="CF13" s="360">
        <f t="shared" si="22"/>
        <v>1544.1094575954626</v>
      </c>
      <c r="CG13" s="360">
        <f t="shared" si="23"/>
        <v>5853.788092973843</v>
      </c>
      <c r="CH13" s="360">
        <f t="shared" si="24"/>
        <v>5807.6952733441267</v>
      </c>
      <c r="CI13" s="360">
        <f t="shared" si="25"/>
        <v>2074.1768833371884</v>
      </c>
      <c r="CJ13" s="360">
        <f t="shared" si="26"/>
        <v>2074.1768833371884</v>
      </c>
      <c r="CK13" s="360">
        <f t="shared" si="27"/>
        <v>5461.9991261212626</v>
      </c>
      <c r="CL13" s="360">
        <f t="shared" si="28"/>
        <v>2546.7282379920211</v>
      </c>
      <c r="CM13" s="360">
        <f t="shared" si="29"/>
        <v>9654.7607828354212</v>
      </c>
      <c r="CN13" s="360">
        <f t="shared" si="30"/>
        <v>9578.7390443878976</v>
      </c>
      <c r="CO13" s="360">
        <f t="shared" si="31"/>
        <v>3420.9782301385358</v>
      </c>
      <c r="CP13" s="360">
        <f t="shared" si="32"/>
        <v>3420.9782301385358</v>
      </c>
      <c r="CQ13" s="360">
        <f t="shared" si="33"/>
        <v>9008.5760060314769</v>
      </c>
      <c r="CR13" s="360">
        <f t="shared" si="34"/>
        <v>16263.854262157913</v>
      </c>
      <c r="CS13" s="360">
        <f t="shared" si="35"/>
        <v>61656.999740121035</v>
      </c>
      <c r="CT13" s="360">
        <f t="shared" si="36"/>
        <v>61171.51155319094</v>
      </c>
      <c r="CU13" s="360">
        <f t="shared" si="37"/>
        <v>21846.968411853912</v>
      </c>
      <c r="CV13" s="360">
        <f t="shared" si="38"/>
        <v>21846.968411853912</v>
      </c>
      <c r="CW13" s="360">
        <f t="shared" si="39"/>
        <v>57530.350151215294</v>
      </c>
      <c r="CX13" s="360">
        <f t="shared" si="40"/>
        <v>2870.091928616102</v>
      </c>
      <c r="CY13" s="360">
        <f t="shared" si="41"/>
        <v>10880.647012962534</v>
      </c>
      <c r="CZ13" s="360">
        <f t="shared" si="42"/>
        <v>10794.972627033694</v>
      </c>
      <c r="DA13" s="360">
        <f t="shared" si="43"/>
        <v>3855.3473667977487</v>
      </c>
      <c r="DB13" s="360">
        <f t="shared" si="44"/>
        <v>3855.3473667977487</v>
      </c>
      <c r="DC13" s="360">
        <f t="shared" si="45"/>
        <v>10152.414732567404</v>
      </c>
      <c r="DD13" s="360">
        <f t="shared" si="46"/>
        <v>1243.7065024003109</v>
      </c>
      <c r="DE13" s="360">
        <f t="shared" si="47"/>
        <v>4714.9470389504313</v>
      </c>
      <c r="DF13" s="360">
        <f t="shared" si="48"/>
        <v>4677.8214717146011</v>
      </c>
      <c r="DG13" s="360">
        <f t="shared" si="49"/>
        <v>1670.6505256123578</v>
      </c>
      <c r="DH13" s="360">
        <f t="shared" si="50"/>
        <v>1670.6505256123578</v>
      </c>
      <c r="DI13" s="360">
        <f t="shared" si="51"/>
        <v>4399.379717445875</v>
      </c>
    </row>
    <row r="14" spans="1:113" ht="28" x14ac:dyDescent="0.3">
      <c r="A14" s="55" t="s">
        <v>1388</v>
      </c>
      <c r="B14" s="90"/>
      <c r="C14" s="1" t="s">
        <v>1389</v>
      </c>
      <c r="D14" s="265" t="s">
        <v>297</v>
      </c>
      <c r="E14" s="1" t="s">
        <v>1008</v>
      </c>
      <c r="F14" s="94" t="s">
        <v>984</v>
      </c>
      <c r="G14" s="115" t="s">
        <v>371</v>
      </c>
      <c r="H14" s="116"/>
      <c r="I14" s="48">
        <v>0</v>
      </c>
      <c r="J14" s="46" t="s">
        <v>371</v>
      </c>
      <c r="K14" s="125" t="s">
        <v>371</v>
      </c>
      <c r="L14" s="116"/>
      <c r="M14" s="130" t="s">
        <v>371</v>
      </c>
      <c r="N14" s="100" t="s">
        <v>421</v>
      </c>
      <c r="O14" s="98"/>
      <c r="P14" s="98"/>
      <c r="Q14" s="98"/>
      <c r="R14" s="98"/>
      <c r="S14" s="98"/>
      <c r="T14" s="160"/>
      <c r="U14" s="223"/>
      <c r="V14" s="223"/>
      <c r="W14" s="223"/>
      <c r="X14" s="223"/>
      <c r="Y14" s="223"/>
      <c r="Z14" s="225"/>
      <c r="AA14" s="96"/>
      <c r="AB14" s="1"/>
      <c r="AC14" s="1" t="s">
        <v>1009</v>
      </c>
      <c r="AD14" s="276" t="s">
        <v>382</v>
      </c>
      <c r="AE14" s="1"/>
      <c r="AF14" s="6" t="s">
        <v>232</v>
      </c>
      <c r="AG14" s="94"/>
      <c r="AH14" s="132"/>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288" t="b">
        <f t="shared" si="0"/>
        <v>0</v>
      </c>
      <c r="BM14" s="356"/>
      <c r="BN14" s="360">
        <f t="shared" si="4"/>
        <v>0</v>
      </c>
      <c r="BO14" s="360">
        <f t="shared" si="5"/>
        <v>0</v>
      </c>
      <c r="BP14" s="360">
        <f t="shared" si="6"/>
        <v>0</v>
      </c>
      <c r="BQ14" s="360">
        <f t="shared" si="7"/>
        <v>0</v>
      </c>
      <c r="BR14" s="360">
        <f t="shared" si="8"/>
        <v>0</v>
      </c>
      <c r="BS14" s="360">
        <f t="shared" si="9"/>
        <v>0</v>
      </c>
      <c r="BT14" s="360">
        <f t="shared" si="10"/>
        <v>0</v>
      </c>
      <c r="BU14" s="360">
        <f t="shared" si="11"/>
        <v>0</v>
      </c>
      <c r="BV14" s="360">
        <f t="shared" si="12"/>
        <v>0</v>
      </c>
      <c r="BW14" s="360">
        <f t="shared" si="13"/>
        <v>0</v>
      </c>
      <c r="BX14" s="360">
        <f t="shared" si="14"/>
        <v>0</v>
      </c>
      <c r="BY14" s="360">
        <f t="shared" si="15"/>
        <v>0</v>
      </c>
      <c r="BZ14" s="360">
        <f t="shared" si="16"/>
        <v>0</v>
      </c>
      <c r="CA14" s="360">
        <f t="shared" si="17"/>
        <v>0</v>
      </c>
      <c r="CB14" s="360">
        <f t="shared" si="18"/>
        <v>0</v>
      </c>
      <c r="CC14" s="360">
        <f t="shared" si="19"/>
        <v>0</v>
      </c>
      <c r="CD14" s="360">
        <f t="shared" si="20"/>
        <v>0</v>
      </c>
      <c r="CE14" s="360">
        <f t="shared" si="21"/>
        <v>0</v>
      </c>
      <c r="CF14" s="360">
        <f t="shared" si="22"/>
        <v>0</v>
      </c>
      <c r="CG14" s="360">
        <f t="shared" si="23"/>
        <v>0</v>
      </c>
      <c r="CH14" s="360">
        <f t="shared" si="24"/>
        <v>0</v>
      </c>
      <c r="CI14" s="360">
        <f t="shared" si="25"/>
        <v>0</v>
      </c>
      <c r="CJ14" s="360">
        <f t="shared" si="26"/>
        <v>0</v>
      </c>
      <c r="CK14" s="360">
        <f t="shared" si="27"/>
        <v>0</v>
      </c>
      <c r="CL14" s="360">
        <f t="shared" si="28"/>
        <v>0</v>
      </c>
      <c r="CM14" s="360">
        <f t="shared" si="29"/>
        <v>0</v>
      </c>
      <c r="CN14" s="360">
        <f t="shared" si="30"/>
        <v>0</v>
      </c>
      <c r="CO14" s="360">
        <f t="shared" si="31"/>
        <v>0</v>
      </c>
      <c r="CP14" s="360">
        <f t="shared" si="32"/>
        <v>0</v>
      </c>
      <c r="CQ14" s="360">
        <f t="shared" si="33"/>
        <v>0</v>
      </c>
      <c r="CR14" s="360">
        <f t="shared" si="34"/>
        <v>0</v>
      </c>
      <c r="CS14" s="360">
        <f t="shared" si="35"/>
        <v>0</v>
      </c>
      <c r="CT14" s="360">
        <f t="shared" si="36"/>
        <v>0</v>
      </c>
      <c r="CU14" s="360">
        <f t="shared" si="37"/>
        <v>0</v>
      </c>
      <c r="CV14" s="360">
        <f t="shared" si="38"/>
        <v>0</v>
      </c>
      <c r="CW14" s="360">
        <f t="shared" si="39"/>
        <v>0</v>
      </c>
      <c r="CX14" s="360">
        <f t="shared" si="40"/>
        <v>0</v>
      </c>
      <c r="CY14" s="360">
        <f t="shared" si="41"/>
        <v>0</v>
      </c>
      <c r="CZ14" s="360">
        <f t="shared" si="42"/>
        <v>0</v>
      </c>
      <c r="DA14" s="360">
        <f t="shared" si="43"/>
        <v>0</v>
      </c>
      <c r="DB14" s="360">
        <f t="shared" si="44"/>
        <v>0</v>
      </c>
      <c r="DC14" s="360">
        <f t="shared" si="45"/>
        <v>0</v>
      </c>
      <c r="DD14" s="360">
        <f t="shared" si="46"/>
        <v>0</v>
      </c>
      <c r="DE14" s="360">
        <f t="shared" si="47"/>
        <v>0</v>
      </c>
      <c r="DF14" s="360">
        <f t="shared" si="48"/>
        <v>0</v>
      </c>
      <c r="DG14" s="360">
        <f t="shared" si="49"/>
        <v>0</v>
      </c>
      <c r="DH14" s="360">
        <f t="shared" si="50"/>
        <v>0</v>
      </c>
      <c r="DI14" s="360">
        <f t="shared" si="51"/>
        <v>0</v>
      </c>
    </row>
    <row r="15" spans="1:113" s="344" customFormat="1" ht="125.4" customHeight="1" x14ac:dyDescent="0.3">
      <c r="A15" s="55" t="s">
        <v>1390</v>
      </c>
      <c r="B15" s="139"/>
      <c r="C15" s="11" t="s">
        <v>1391</v>
      </c>
      <c r="D15" s="265" t="s">
        <v>297</v>
      </c>
      <c r="E15" s="11" t="s">
        <v>1384</v>
      </c>
      <c r="F15" s="94" t="s">
        <v>984</v>
      </c>
      <c r="G15" s="115" t="s">
        <v>371</v>
      </c>
      <c r="H15" s="116"/>
      <c r="I15" s="48">
        <v>0</v>
      </c>
      <c r="J15" s="46" t="s">
        <v>371</v>
      </c>
      <c r="K15" s="125" t="s">
        <v>371</v>
      </c>
      <c r="L15" s="116"/>
      <c r="M15" s="130" t="s">
        <v>371</v>
      </c>
      <c r="N15" s="131" t="s">
        <v>371</v>
      </c>
      <c r="O15" s="11"/>
      <c r="P15" s="11"/>
      <c r="Q15" s="11"/>
      <c r="R15" s="11"/>
      <c r="S15" s="11"/>
      <c r="T15" s="134"/>
      <c r="U15" s="223"/>
      <c r="V15" s="223"/>
      <c r="W15" s="223"/>
      <c r="X15" s="223"/>
      <c r="Y15" s="223"/>
      <c r="Z15" s="225"/>
      <c r="AA15" s="131" t="s">
        <v>1392</v>
      </c>
      <c r="AB15" s="11"/>
      <c r="AC15" s="11" t="s">
        <v>1393</v>
      </c>
      <c r="AD15" s="275" t="s">
        <v>346</v>
      </c>
      <c r="AE15" s="11"/>
      <c r="AF15" s="405" t="s">
        <v>461</v>
      </c>
      <c r="AG15" s="109" t="s">
        <v>1373</v>
      </c>
      <c r="AH15" s="185"/>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288" t="b">
        <f t="shared" si="0"/>
        <v>0</v>
      </c>
      <c r="BM15" s="356"/>
      <c r="BN15" s="360">
        <f t="shared" si="4"/>
        <v>0</v>
      </c>
      <c r="BO15" s="360">
        <f t="shared" si="5"/>
        <v>0</v>
      </c>
      <c r="BP15" s="360">
        <f t="shared" si="6"/>
        <v>0</v>
      </c>
      <c r="BQ15" s="360">
        <f t="shared" si="7"/>
        <v>0</v>
      </c>
      <c r="BR15" s="360">
        <f t="shared" si="8"/>
        <v>0</v>
      </c>
      <c r="BS15" s="360">
        <f t="shared" si="9"/>
        <v>0</v>
      </c>
      <c r="BT15" s="360">
        <f t="shared" si="10"/>
        <v>0</v>
      </c>
      <c r="BU15" s="360">
        <f t="shared" si="11"/>
        <v>0</v>
      </c>
      <c r="BV15" s="360">
        <f t="shared" si="12"/>
        <v>0</v>
      </c>
      <c r="BW15" s="360">
        <f t="shared" si="13"/>
        <v>0</v>
      </c>
      <c r="BX15" s="360">
        <f t="shared" si="14"/>
        <v>0</v>
      </c>
      <c r="BY15" s="360">
        <f t="shared" si="15"/>
        <v>0</v>
      </c>
      <c r="BZ15" s="360">
        <f t="shared" si="16"/>
        <v>0</v>
      </c>
      <c r="CA15" s="360">
        <f t="shared" si="17"/>
        <v>0</v>
      </c>
      <c r="CB15" s="360">
        <f t="shared" si="18"/>
        <v>0</v>
      </c>
      <c r="CC15" s="360">
        <f t="shared" si="19"/>
        <v>0</v>
      </c>
      <c r="CD15" s="360">
        <f t="shared" si="20"/>
        <v>0</v>
      </c>
      <c r="CE15" s="360">
        <f t="shared" si="21"/>
        <v>0</v>
      </c>
      <c r="CF15" s="360">
        <f t="shared" si="22"/>
        <v>0</v>
      </c>
      <c r="CG15" s="360">
        <f t="shared" si="23"/>
        <v>0</v>
      </c>
      <c r="CH15" s="360">
        <f t="shared" si="24"/>
        <v>0</v>
      </c>
      <c r="CI15" s="360">
        <f t="shared" si="25"/>
        <v>0</v>
      </c>
      <c r="CJ15" s="360">
        <f t="shared" si="26"/>
        <v>0</v>
      </c>
      <c r="CK15" s="360">
        <f t="shared" si="27"/>
        <v>0</v>
      </c>
      <c r="CL15" s="360">
        <f t="shared" si="28"/>
        <v>0</v>
      </c>
      <c r="CM15" s="360">
        <f t="shared" si="29"/>
        <v>0</v>
      </c>
      <c r="CN15" s="360">
        <f t="shared" si="30"/>
        <v>0</v>
      </c>
      <c r="CO15" s="360">
        <f t="shared" si="31"/>
        <v>0</v>
      </c>
      <c r="CP15" s="360">
        <f t="shared" si="32"/>
        <v>0</v>
      </c>
      <c r="CQ15" s="360">
        <f t="shared" si="33"/>
        <v>0</v>
      </c>
      <c r="CR15" s="360">
        <f t="shared" si="34"/>
        <v>0</v>
      </c>
      <c r="CS15" s="360">
        <f t="shared" si="35"/>
        <v>0</v>
      </c>
      <c r="CT15" s="360">
        <f t="shared" si="36"/>
        <v>0</v>
      </c>
      <c r="CU15" s="360">
        <f t="shared" si="37"/>
        <v>0</v>
      </c>
      <c r="CV15" s="360">
        <f t="shared" si="38"/>
        <v>0</v>
      </c>
      <c r="CW15" s="360">
        <f t="shared" si="39"/>
        <v>0</v>
      </c>
      <c r="CX15" s="360">
        <f t="shared" si="40"/>
        <v>0</v>
      </c>
      <c r="CY15" s="360">
        <f t="shared" si="41"/>
        <v>0</v>
      </c>
      <c r="CZ15" s="360">
        <f t="shared" si="42"/>
        <v>0</v>
      </c>
      <c r="DA15" s="360">
        <f t="shared" si="43"/>
        <v>0</v>
      </c>
      <c r="DB15" s="360">
        <f t="shared" si="44"/>
        <v>0</v>
      </c>
      <c r="DC15" s="360">
        <f t="shared" si="45"/>
        <v>0</v>
      </c>
      <c r="DD15" s="360">
        <f t="shared" si="46"/>
        <v>0</v>
      </c>
      <c r="DE15" s="360">
        <f t="shared" si="47"/>
        <v>0</v>
      </c>
      <c r="DF15" s="360">
        <f t="shared" si="48"/>
        <v>0</v>
      </c>
      <c r="DG15" s="360">
        <f t="shared" si="49"/>
        <v>0</v>
      </c>
      <c r="DH15" s="360">
        <f t="shared" si="50"/>
        <v>0</v>
      </c>
      <c r="DI15" s="360">
        <f t="shared" si="51"/>
        <v>0</v>
      </c>
    </row>
    <row r="16" spans="1:113" s="4" customFormat="1" ht="14" x14ac:dyDescent="0.3">
      <c r="G16" s="353">
        <f>SUM(G2:G15)</f>
        <v>23820955.879999999</v>
      </c>
      <c r="H16" s="5"/>
      <c r="I16" s="353">
        <f>SUM(I2:I15)</f>
        <v>0</v>
      </c>
      <c r="J16" s="353">
        <f>SUM(J2:J15)</f>
        <v>23820955.879999999</v>
      </c>
      <c r="K16" s="353">
        <f>SUM(K2:K15)</f>
        <v>23820955.879999999</v>
      </c>
      <c r="L16" s="353"/>
      <c r="M16" s="353">
        <f>SUM(M2:M15)</f>
        <v>0</v>
      </c>
      <c r="AG16" s="352" t="s">
        <v>15</v>
      </c>
      <c r="AH16" s="353">
        <f t="shared" ref="AH16:BJ16" si="52">SUM(AH2:AH15)</f>
        <v>1297452.058739403</v>
      </c>
      <c r="AI16" s="353">
        <f t="shared" si="52"/>
        <v>5241933.8036299301</v>
      </c>
      <c r="AJ16" s="353">
        <f t="shared" si="52"/>
        <v>1760907.8822351645</v>
      </c>
      <c r="AK16" s="353">
        <f t="shared" si="52"/>
        <v>1338213.7271774053</v>
      </c>
      <c r="AL16" s="353">
        <f t="shared" si="52"/>
        <v>2207140.6082690535</v>
      </c>
      <c r="AM16" s="353">
        <f t="shared" si="52"/>
        <v>9346587.3984099515</v>
      </c>
      <c r="AN16" s="353">
        <f t="shared" si="52"/>
        <v>1649397.7761899913</v>
      </c>
      <c r="AO16" s="353">
        <f t="shared" si="52"/>
        <v>692118.62963459687</v>
      </c>
      <c r="AP16" s="353">
        <f t="shared" si="52"/>
        <v>40451.267002042674</v>
      </c>
      <c r="AQ16" s="353">
        <f t="shared" si="52"/>
        <v>39873.391759156351</v>
      </c>
      <c r="AR16" s="353">
        <f t="shared" si="52"/>
        <v>24270.760201225603</v>
      </c>
      <c r="AS16" s="353">
        <f t="shared" si="52"/>
        <v>20803.508743907663</v>
      </c>
      <c r="AT16" s="353">
        <f t="shared" si="52"/>
        <v>20225.633501021337</v>
      </c>
      <c r="AU16" s="353">
        <f t="shared" si="52"/>
        <v>20225.633501021337</v>
      </c>
      <c r="AV16" s="353">
        <f t="shared" si="52"/>
        <v>20225.633501021337</v>
      </c>
      <c r="AW16" s="353">
        <f t="shared" si="52"/>
        <v>13291.13058638545</v>
      </c>
      <c r="AX16" s="353">
        <f t="shared" si="52"/>
        <v>11557.504857726479</v>
      </c>
      <c r="AY16" s="353">
        <f t="shared" si="52"/>
        <v>9246.0038861811809</v>
      </c>
      <c r="AZ16" s="353">
        <f t="shared" si="52"/>
        <v>9246.0038861811809</v>
      </c>
      <c r="BA16" s="353">
        <f t="shared" si="52"/>
        <v>8668.1286432948582</v>
      </c>
      <c r="BB16" s="353">
        <f t="shared" si="52"/>
        <v>7512.378157522211</v>
      </c>
      <c r="BC16" s="353">
        <f t="shared" si="52"/>
        <v>6934.5029146358866</v>
      </c>
      <c r="BD16" s="353">
        <f t="shared" si="52"/>
        <v>5778.7524288632394</v>
      </c>
      <c r="BE16" s="353">
        <f t="shared" si="52"/>
        <v>5778.7524288632394</v>
      </c>
      <c r="BF16" s="353">
        <f t="shared" si="52"/>
        <v>5778.7524288632394</v>
      </c>
      <c r="BG16" s="353">
        <f t="shared" si="52"/>
        <v>5778.7524288632394</v>
      </c>
      <c r="BH16" s="353">
        <f t="shared" si="52"/>
        <v>5778.7524288632394</v>
      </c>
      <c r="BI16" s="353">
        <f t="shared" si="52"/>
        <v>5778.7524288632394</v>
      </c>
      <c r="BJ16" s="353">
        <f t="shared" si="52"/>
        <v>0</v>
      </c>
      <c r="BM16" s="352" t="s">
        <v>15</v>
      </c>
      <c r="BN16" s="353">
        <f t="shared" ref="BN16:DI16" si="53">SUM(BN2:BN15)</f>
        <v>193190.61267351781</v>
      </c>
      <c r="BO16" s="353">
        <f t="shared" si="53"/>
        <v>738757.94709838938</v>
      </c>
      <c r="BP16" s="353">
        <f t="shared" si="53"/>
        <v>323641.301933543</v>
      </c>
      <c r="BQ16" s="353">
        <f t="shared" si="53"/>
        <v>9035.0065540905234</v>
      </c>
      <c r="BR16" s="353">
        <f t="shared" si="53"/>
        <v>9035.0065540905234</v>
      </c>
      <c r="BS16" s="353">
        <f t="shared" si="53"/>
        <v>23792.183925771711</v>
      </c>
      <c r="BT16" s="353">
        <f t="shared" si="53"/>
        <v>669727.45726819511</v>
      </c>
      <c r="BU16" s="353">
        <f t="shared" si="53"/>
        <v>3305127.549941083</v>
      </c>
      <c r="BV16" s="353">
        <f t="shared" si="53"/>
        <v>1121956.5133696157</v>
      </c>
      <c r="BW16" s="353">
        <f t="shared" si="53"/>
        <v>31321.356054180484</v>
      </c>
      <c r="BX16" s="353">
        <f t="shared" si="53"/>
        <v>31321.356054180484</v>
      </c>
      <c r="BY16" s="353">
        <f t="shared" si="53"/>
        <v>82479.570942675258</v>
      </c>
      <c r="BZ16" s="353">
        <f t="shared" si="53"/>
        <v>62297.436989548951</v>
      </c>
      <c r="CA16" s="353">
        <f t="shared" si="53"/>
        <v>1075776.619896523</v>
      </c>
      <c r="CB16" s="353">
        <f t="shared" si="53"/>
        <v>564226.7495015586</v>
      </c>
      <c r="CC16" s="353">
        <f t="shared" si="53"/>
        <v>12649.009175726735</v>
      </c>
      <c r="CD16" s="353">
        <f t="shared" si="53"/>
        <v>12649.009175726735</v>
      </c>
      <c r="CE16" s="353">
        <f t="shared" si="53"/>
        <v>33309.057496080401</v>
      </c>
      <c r="CF16" s="353">
        <f t="shared" si="53"/>
        <v>47157.660645550284</v>
      </c>
      <c r="CG16" s="353">
        <f t="shared" si="53"/>
        <v>819587.47859915416</v>
      </c>
      <c r="CH16" s="353">
        <f t="shared" si="53"/>
        <v>426424.86392416735</v>
      </c>
      <c r="CI16" s="353">
        <f t="shared" si="53"/>
        <v>9721.6670522014028</v>
      </c>
      <c r="CJ16" s="353">
        <f t="shared" si="53"/>
        <v>9721.6670522014028</v>
      </c>
      <c r="CK16" s="353">
        <f t="shared" si="53"/>
        <v>25600.389904130359</v>
      </c>
      <c r="CL16" s="353">
        <f t="shared" si="53"/>
        <v>77778.000395573021</v>
      </c>
      <c r="CM16" s="353">
        <f t="shared" si="53"/>
        <v>1351760.7608618019</v>
      </c>
      <c r="CN16" s="353">
        <f t="shared" si="53"/>
        <v>703310.40134209022</v>
      </c>
      <c r="CO16" s="353">
        <f t="shared" si="53"/>
        <v>16034.124964659317</v>
      </c>
      <c r="CP16" s="353">
        <f t="shared" si="53"/>
        <v>16034.124964659317</v>
      </c>
      <c r="CQ16" s="353">
        <f t="shared" si="53"/>
        <v>42223.195740269533</v>
      </c>
      <c r="CR16" s="353">
        <f t="shared" si="53"/>
        <v>412290.8729267341</v>
      </c>
      <c r="CS16" s="353">
        <f t="shared" si="53"/>
        <v>3196019.6777819479</v>
      </c>
      <c r="CT16" s="353">
        <f t="shared" si="53"/>
        <v>1170224.6746498058</v>
      </c>
      <c r="CU16" s="353">
        <f t="shared" si="53"/>
        <v>985910.54094635916</v>
      </c>
      <c r="CV16" s="353">
        <f t="shared" si="53"/>
        <v>985910.54094635916</v>
      </c>
      <c r="CW16" s="353">
        <f t="shared" si="53"/>
        <v>2596231.0911587463</v>
      </c>
      <c r="CX16" s="353">
        <f t="shared" si="53"/>
        <v>72757.21286942366</v>
      </c>
      <c r="CY16" s="353">
        <f t="shared" si="53"/>
        <v>564003.47254975536</v>
      </c>
      <c r="CZ16" s="353">
        <f t="shared" si="53"/>
        <v>206510.2367029069</v>
      </c>
      <c r="DA16" s="353">
        <f t="shared" si="53"/>
        <v>173984.21310818102</v>
      </c>
      <c r="DB16" s="353">
        <f t="shared" si="53"/>
        <v>173984.21310818102</v>
      </c>
      <c r="DC16" s="353">
        <f t="shared" si="53"/>
        <v>458158.42785154335</v>
      </c>
      <c r="DD16" s="353">
        <f t="shared" si="53"/>
        <v>57820.487614575482</v>
      </c>
      <c r="DE16" s="353">
        <f t="shared" si="53"/>
        <v>369137.21961634239</v>
      </c>
      <c r="DF16" s="353">
        <f t="shared" si="53"/>
        <v>228880.35164091989</v>
      </c>
      <c r="DG16" s="353">
        <f t="shared" si="53"/>
        <v>7830.3390135451209</v>
      </c>
      <c r="DH16" s="353">
        <f t="shared" si="53"/>
        <v>7830.3390135451209</v>
      </c>
      <c r="DI16" s="353">
        <f t="shared" si="53"/>
        <v>20619.892735668815</v>
      </c>
    </row>
    <row r="17" spans="2:113" s="4" customFormat="1" ht="14" x14ac:dyDescent="0.3">
      <c r="K17" s="58"/>
    </row>
    <row r="18" spans="2:113" s="4" customFormat="1" ht="14" x14ac:dyDescent="0.3">
      <c r="K18" s="58"/>
      <c r="AG18" s="352" t="s">
        <v>433</v>
      </c>
      <c r="AH18" s="355">
        <f t="shared" ref="AH18:BJ18" si="54">AH16*0.2</f>
        <v>259490.41174788063</v>
      </c>
      <c r="AI18" s="355">
        <f t="shared" si="54"/>
        <v>1048386.7607259861</v>
      </c>
      <c r="AJ18" s="355">
        <f t="shared" si="54"/>
        <v>352181.57644703292</v>
      </c>
      <c r="AK18" s="355">
        <f t="shared" si="54"/>
        <v>267642.74543548108</v>
      </c>
      <c r="AL18" s="355">
        <f t="shared" si="54"/>
        <v>441428.12165381073</v>
      </c>
      <c r="AM18" s="355">
        <f t="shared" si="54"/>
        <v>1869317.4796819903</v>
      </c>
      <c r="AN18" s="355">
        <f t="shared" si="54"/>
        <v>329879.55523799825</v>
      </c>
      <c r="AO18" s="355">
        <f t="shared" si="54"/>
        <v>138423.72592691937</v>
      </c>
      <c r="AP18" s="355">
        <f t="shared" si="54"/>
        <v>8090.2534004085355</v>
      </c>
      <c r="AQ18" s="355">
        <f t="shared" si="54"/>
        <v>7974.6783518312704</v>
      </c>
      <c r="AR18" s="355">
        <f t="shared" si="54"/>
        <v>4854.1520402451206</v>
      </c>
      <c r="AS18" s="355">
        <f t="shared" si="54"/>
        <v>4160.7017487815328</v>
      </c>
      <c r="AT18" s="355">
        <f t="shared" si="54"/>
        <v>4045.1267002042678</v>
      </c>
      <c r="AU18" s="355">
        <f t="shared" si="54"/>
        <v>4045.1267002042678</v>
      </c>
      <c r="AV18" s="355">
        <f t="shared" si="54"/>
        <v>4045.1267002042678</v>
      </c>
      <c r="AW18" s="355">
        <f t="shared" si="54"/>
        <v>2658.2261172770905</v>
      </c>
      <c r="AX18" s="355">
        <f t="shared" si="54"/>
        <v>2311.5009715452957</v>
      </c>
      <c r="AY18" s="355">
        <f t="shared" si="54"/>
        <v>1849.2007772362363</v>
      </c>
      <c r="AZ18" s="355">
        <f t="shared" si="54"/>
        <v>1849.2007772362363</v>
      </c>
      <c r="BA18" s="355">
        <f t="shared" si="54"/>
        <v>1733.6257286589716</v>
      </c>
      <c r="BB18" s="355">
        <f t="shared" si="54"/>
        <v>1502.4756315044424</v>
      </c>
      <c r="BC18" s="355">
        <f t="shared" si="54"/>
        <v>1386.9005829271773</v>
      </c>
      <c r="BD18" s="355">
        <f t="shared" si="54"/>
        <v>1155.7504857726478</v>
      </c>
      <c r="BE18" s="355">
        <f t="shared" si="54"/>
        <v>1155.7504857726478</v>
      </c>
      <c r="BF18" s="355">
        <f t="shared" si="54"/>
        <v>1155.7504857726478</v>
      </c>
      <c r="BG18" s="355">
        <f t="shared" si="54"/>
        <v>1155.7504857726478</v>
      </c>
      <c r="BH18" s="355">
        <f t="shared" si="54"/>
        <v>1155.7504857726478</v>
      </c>
      <c r="BI18" s="355">
        <f t="shared" si="54"/>
        <v>1155.7504857726478</v>
      </c>
      <c r="BJ18" s="355">
        <f t="shared" si="54"/>
        <v>0</v>
      </c>
      <c r="BM18" s="352" t="s">
        <v>433</v>
      </c>
      <c r="BN18" s="355">
        <f t="shared" ref="BN18:DI18" si="55">BN16*0.2</f>
        <v>38638.122534703565</v>
      </c>
      <c r="BO18" s="355">
        <f t="shared" si="55"/>
        <v>147751.58941967788</v>
      </c>
      <c r="BP18" s="355">
        <f t="shared" si="55"/>
        <v>64728.2603867086</v>
      </c>
      <c r="BQ18" s="355">
        <f t="shared" si="55"/>
        <v>1807.0013108181047</v>
      </c>
      <c r="BR18" s="355">
        <f t="shared" si="55"/>
        <v>1807.0013108181047</v>
      </c>
      <c r="BS18" s="355">
        <f t="shared" si="55"/>
        <v>4758.436785154342</v>
      </c>
      <c r="BT18" s="355">
        <f t="shared" si="55"/>
        <v>133945.49145363903</v>
      </c>
      <c r="BU18" s="355">
        <f t="shared" si="55"/>
        <v>661025.50998821668</v>
      </c>
      <c r="BV18" s="355">
        <f t="shared" si="55"/>
        <v>224391.30267392314</v>
      </c>
      <c r="BW18" s="355">
        <f t="shared" si="55"/>
        <v>6264.2712108360975</v>
      </c>
      <c r="BX18" s="355">
        <f t="shared" si="55"/>
        <v>6264.2712108360975</v>
      </c>
      <c r="BY18" s="355">
        <f t="shared" si="55"/>
        <v>16495.914188535051</v>
      </c>
      <c r="BZ18" s="355">
        <f t="shared" si="55"/>
        <v>12459.48739790979</v>
      </c>
      <c r="CA18" s="355">
        <f t="shared" si="55"/>
        <v>215155.32397930461</v>
      </c>
      <c r="CB18" s="355">
        <f t="shared" si="55"/>
        <v>112845.34990031173</v>
      </c>
      <c r="CC18" s="355">
        <f t="shared" si="55"/>
        <v>2529.801835145347</v>
      </c>
      <c r="CD18" s="355">
        <f t="shared" si="55"/>
        <v>2529.801835145347</v>
      </c>
      <c r="CE18" s="355">
        <f t="shared" si="55"/>
        <v>6661.8114992160808</v>
      </c>
      <c r="CF18" s="355">
        <f t="shared" si="55"/>
        <v>9431.5321291100572</v>
      </c>
      <c r="CG18" s="355">
        <f t="shared" si="55"/>
        <v>163917.49571983085</v>
      </c>
      <c r="CH18" s="355">
        <f t="shared" si="55"/>
        <v>85284.972784833473</v>
      </c>
      <c r="CI18" s="355">
        <f t="shared" si="55"/>
        <v>1944.3334104402807</v>
      </c>
      <c r="CJ18" s="355">
        <f t="shared" si="55"/>
        <v>1944.3334104402807</v>
      </c>
      <c r="CK18" s="355">
        <f t="shared" si="55"/>
        <v>5120.0779808260722</v>
      </c>
      <c r="CL18" s="355">
        <f t="shared" si="55"/>
        <v>15555.600079114605</v>
      </c>
      <c r="CM18" s="355">
        <f t="shared" si="55"/>
        <v>270352.15217236039</v>
      </c>
      <c r="CN18" s="355">
        <f t="shared" si="55"/>
        <v>140662.08026841804</v>
      </c>
      <c r="CO18" s="355">
        <f t="shared" si="55"/>
        <v>3206.8249929318636</v>
      </c>
      <c r="CP18" s="355">
        <f t="shared" si="55"/>
        <v>3206.8249929318636</v>
      </c>
      <c r="CQ18" s="355">
        <f t="shared" si="55"/>
        <v>8444.6391480539078</v>
      </c>
      <c r="CR18" s="355">
        <f t="shared" si="55"/>
        <v>82458.174585346831</v>
      </c>
      <c r="CS18" s="355">
        <f t="shared" si="55"/>
        <v>639203.93555638962</v>
      </c>
      <c r="CT18" s="355">
        <f t="shared" si="55"/>
        <v>234044.93492996116</v>
      </c>
      <c r="CU18" s="355">
        <f t="shared" si="55"/>
        <v>197182.10818927185</v>
      </c>
      <c r="CV18" s="355">
        <f t="shared" si="55"/>
        <v>197182.10818927185</v>
      </c>
      <c r="CW18" s="355">
        <f t="shared" si="55"/>
        <v>519246.21823174926</v>
      </c>
      <c r="CX18" s="355">
        <f t="shared" si="55"/>
        <v>14551.442573884733</v>
      </c>
      <c r="CY18" s="355">
        <f t="shared" si="55"/>
        <v>112800.69450995108</v>
      </c>
      <c r="CZ18" s="355">
        <f t="shared" si="55"/>
        <v>41302.047340581383</v>
      </c>
      <c r="DA18" s="355">
        <f t="shared" si="55"/>
        <v>34796.842621636206</v>
      </c>
      <c r="DB18" s="355">
        <f t="shared" si="55"/>
        <v>34796.842621636206</v>
      </c>
      <c r="DC18" s="355">
        <f t="shared" si="55"/>
        <v>91631.685570308677</v>
      </c>
      <c r="DD18" s="355">
        <f t="shared" si="55"/>
        <v>11564.097522915097</v>
      </c>
      <c r="DE18" s="355">
        <f t="shared" si="55"/>
        <v>73827.443923268482</v>
      </c>
      <c r="DF18" s="355">
        <f t="shared" si="55"/>
        <v>45776.070328183981</v>
      </c>
      <c r="DG18" s="355">
        <f t="shared" si="55"/>
        <v>1566.0678027090244</v>
      </c>
      <c r="DH18" s="355">
        <f t="shared" si="55"/>
        <v>1566.0678027090244</v>
      </c>
      <c r="DI18" s="355">
        <f t="shared" si="55"/>
        <v>4123.9785471337627</v>
      </c>
    </row>
    <row r="19" spans="2:113" s="4" customFormat="1" ht="14" x14ac:dyDescent="0.3">
      <c r="K19" s="58"/>
    </row>
    <row r="20" spans="2:113" s="4" customFormat="1" thickBot="1" x14ac:dyDescent="0.35">
      <c r="K20" s="58"/>
      <c r="AG20" s="352" t="s">
        <v>434</v>
      </c>
      <c r="AH20" s="110">
        <f>SUM(AH16:AH18)</f>
        <v>1556942.4704872835</v>
      </c>
      <c r="AI20" s="110">
        <f t="shared" ref="AI20:BJ20" si="56">SUM(AI16:AI18)</f>
        <v>6290320.5643559163</v>
      </c>
      <c r="AJ20" s="110">
        <f t="shared" si="56"/>
        <v>2113089.4586821976</v>
      </c>
      <c r="AK20" s="110">
        <f t="shared" si="56"/>
        <v>1605856.4726128862</v>
      </c>
      <c r="AL20" s="110">
        <f t="shared" si="56"/>
        <v>2648568.7299228641</v>
      </c>
      <c r="AM20" s="110">
        <f t="shared" si="56"/>
        <v>11215904.878091943</v>
      </c>
      <c r="AN20" s="110">
        <f t="shared" si="56"/>
        <v>1979277.3314279895</v>
      </c>
      <c r="AO20" s="110">
        <f t="shared" si="56"/>
        <v>830542.35556151625</v>
      </c>
      <c r="AP20" s="110">
        <f t="shared" si="56"/>
        <v>48541.520402451206</v>
      </c>
      <c r="AQ20" s="110">
        <f t="shared" si="56"/>
        <v>47848.070110987625</v>
      </c>
      <c r="AR20" s="110">
        <f t="shared" si="56"/>
        <v>29124.912241470724</v>
      </c>
      <c r="AS20" s="110">
        <f t="shared" si="56"/>
        <v>24964.210492689195</v>
      </c>
      <c r="AT20" s="110">
        <f t="shared" si="56"/>
        <v>24270.760201225603</v>
      </c>
      <c r="AU20" s="110">
        <f t="shared" si="56"/>
        <v>24270.760201225603</v>
      </c>
      <c r="AV20" s="110">
        <f t="shared" si="56"/>
        <v>24270.760201225603</v>
      </c>
      <c r="AW20" s="110">
        <f t="shared" si="56"/>
        <v>15949.356703662541</v>
      </c>
      <c r="AX20" s="110">
        <f t="shared" si="56"/>
        <v>13869.005829271775</v>
      </c>
      <c r="AY20" s="110">
        <f t="shared" si="56"/>
        <v>11095.204663417417</v>
      </c>
      <c r="AZ20" s="110">
        <f t="shared" si="56"/>
        <v>11095.204663417417</v>
      </c>
      <c r="BA20" s="110">
        <f t="shared" si="56"/>
        <v>10401.75437195383</v>
      </c>
      <c r="BB20" s="110">
        <f t="shared" si="56"/>
        <v>9014.8537890266525</v>
      </c>
      <c r="BC20" s="110">
        <f t="shared" si="56"/>
        <v>8321.4034975630639</v>
      </c>
      <c r="BD20" s="110">
        <f t="shared" si="56"/>
        <v>6934.5029146358875</v>
      </c>
      <c r="BE20" s="110">
        <f t="shared" si="56"/>
        <v>6934.5029146358875</v>
      </c>
      <c r="BF20" s="110">
        <f t="shared" si="56"/>
        <v>6934.5029146358875</v>
      </c>
      <c r="BG20" s="110">
        <f t="shared" si="56"/>
        <v>6934.5029146358875</v>
      </c>
      <c r="BH20" s="110">
        <f t="shared" si="56"/>
        <v>6934.5029146358875</v>
      </c>
      <c r="BI20" s="110">
        <f t="shared" si="56"/>
        <v>6934.5029146358875</v>
      </c>
      <c r="BJ20" s="110">
        <f t="shared" si="56"/>
        <v>0</v>
      </c>
      <c r="BM20" s="352" t="s">
        <v>434</v>
      </c>
      <c r="BN20" s="110">
        <f>SUM(BN16:BN18)</f>
        <v>231828.73520822136</v>
      </c>
      <c r="BO20" s="110">
        <f t="shared" ref="BO20:DI20" si="57">SUM(BO16:BO18)</f>
        <v>886509.53651806724</v>
      </c>
      <c r="BP20" s="110">
        <f t="shared" si="57"/>
        <v>388369.5623202516</v>
      </c>
      <c r="BQ20" s="110">
        <f t="shared" si="57"/>
        <v>10842.007864908628</v>
      </c>
      <c r="BR20" s="110">
        <f t="shared" si="57"/>
        <v>10842.007864908628</v>
      </c>
      <c r="BS20" s="110">
        <f t="shared" si="57"/>
        <v>28550.620710926054</v>
      </c>
      <c r="BT20" s="110">
        <f t="shared" si="57"/>
        <v>803672.94872183411</v>
      </c>
      <c r="BU20" s="110">
        <f t="shared" si="57"/>
        <v>3966153.0599292996</v>
      </c>
      <c r="BV20" s="110">
        <f t="shared" si="57"/>
        <v>1346347.8160435387</v>
      </c>
      <c r="BW20" s="110">
        <f t="shared" si="57"/>
        <v>37585.627265016577</v>
      </c>
      <c r="BX20" s="110">
        <f t="shared" si="57"/>
        <v>37585.627265016577</v>
      </c>
      <c r="BY20" s="110">
        <f t="shared" si="57"/>
        <v>98975.485131210313</v>
      </c>
      <c r="BZ20" s="110">
        <f t="shared" si="57"/>
        <v>74756.924387458741</v>
      </c>
      <c r="CA20" s="110">
        <f t="shared" si="57"/>
        <v>1290931.9438758276</v>
      </c>
      <c r="CB20" s="110">
        <f t="shared" si="57"/>
        <v>677072.09940187028</v>
      </c>
      <c r="CC20" s="110">
        <f t="shared" si="57"/>
        <v>15178.811010872081</v>
      </c>
      <c r="CD20" s="110">
        <f t="shared" si="57"/>
        <v>15178.811010872081</v>
      </c>
      <c r="CE20" s="110">
        <f t="shared" si="57"/>
        <v>39970.868995296478</v>
      </c>
      <c r="CF20" s="110">
        <f t="shared" si="57"/>
        <v>56589.19277466034</v>
      </c>
      <c r="CG20" s="110">
        <f t="shared" si="57"/>
        <v>983504.97431898501</v>
      </c>
      <c r="CH20" s="110">
        <f t="shared" si="57"/>
        <v>511709.83670900081</v>
      </c>
      <c r="CI20" s="110">
        <f t="shared" si="57"/>
        <v>11666.000462641683</v>
      </c>
      <c r="CJ20" s="110">
        <f t="shared" si="57"/>
        <v>11666.000462641683</v>
      </c>
      <c r="CK20" s="110">
        <f t="shared" si="57"/>
        <v>30720.46788495643</v>
      </c>
      <c r="CL20" s="110">
        <f t="shared" si="57"/>
        <v>93333.600474687628</v>
      </c>
      <c r="CM20" s="110">
        <f t="shared" si="57"/>
        <v>1622112.9130341623</v>
      </c>
      <c r="CN20" s="110">
        <f t="shared" si="57"/>
        <v>843972.48161050829</v>
      </c>
      <c r="CO20" s="110">
        <f t="shared" si="57"/>
        <v>19240.94995759118</v>
      </c>
      <c r="CP20" s="110">
        <f t="shared" si="57"/>
        <v>19240.94995759118</v>
      </c>
      <c r="CQ20" s="110">
        <f t="shared" si="57"/>
        <v>50667.834888323443</v>
      </c>
      <c r="CR20" s="110">
        <f t="shared" si="57"/>
        <v>494749.04751208093</v>
      </c>
      <c r="CS20" s="110">
        <f t="shared" si="57"/>
        <v>3835223.6133383373</v>
      </c>
      <c r="CT20" s="110">
        <f t="shared" si="57"/>
        <v>1404269.6095797669</v>
      </c>
      <c r="CU20" s="110">
        <f t="shared" si="57"/>
        <v>1183092.649135631</v>
      </c>
      <c r="CV20" s="110">
        <f t="shared" si="57"/>
        <v>1183092.649135631</v>
      </c>
      <c r="CW20" s="110">
        <f t="shared" si="57"/>
        <v>3115477.3093904955</v>
      </c>
      <c r="CX20" s="110">
        <f t="shared" si="57"/>
        <v>87308.655443308395</v>
      </c>
      <c r="CY20" s="110">
        <f t="shared" si="57"/>
        <v>676804.16705970641</v>
      </c>
      <c r="CZ20" s="110">
        <f t="shared" si="57"/>
        <v>247812.28404348827</v>
      </c>
      <c r="DA20" s="110">
        <f t="shared" si="57"/>
        <v>208781.05572981722</v>
      </c>
      <c r="DB20" s="110">
        <f t="shared" si="57"/>
        <v>208781.05572981722</v>
      </c>
      <c r="DC20" s="110">
        <f t="shared" si="57"/>
        <v>549790.113421852</v>
      </c>
      <c r="DD20" s="110">
        <f t="shared" si="57"/>
        <v>69384.585137490576</v>
      </c>
      <c r="DE20" s="110">
        <f t="shared" si="57"/>
        <v>442964.66353961086</v>
      </c>
      <c r="DF20" s="110">
        <f t="shared" si="57"/>
        <v>274656.42196910386</v>
      </c>
      <c r="DG20" s="110">
        <f t="shared" si="57"/>
        <v>9396.4068162541444</v>
      </c>
      <c r="DH20" s="110">
        <f t="shared" si="57"/>
        <v>9396.4068162541444</v>
      </c>
      <c r="DI20" s="110">
        <f t="shared" si="57"/>
        <v>24743.871282802578</v>
      </c>
    </row>
    <row r="21" spans="2:113" s="348" customFormat="1" thickTop="1" x14ac:dyDescent="0.3">
      <c r="B21" s="407"/>
      <c r="G21" s="408"/>
      <c r="H21" s="409"/>
      <c r="I21" s="408"/>
      <c r="J21" s="408"/>
      <c r="K21" s="408"/>
      <c r="L21" s="408"/>
      <c r="M21" s="408"/>
      <c r="BM21" s="356"/>
      <c r="BS21" s="351">
        <f>SUM(BN20:BS20)</f>
        <v>1556942.4704872835</v>
      </c>
      <c r="BY21" s="351">
        <f>SUM(BT20:BY20)</f>
        <v>6290320.5643559163</v>
      </c>
      <c r="CE21" s="351">
        <f>SUM(BZ20:CE20)</f>
        <v>2113089.4586821971</v>
      </c>
      <c r="CK21" s="351">
        <f>SUM(CF20:CK20)</f>
        <v>1605856.472612886</v>
      </c>
      <c r="CQ21" s="351">
        <f>SUM(CL20:CQ20)</f>
        <v>2648568.7299228637</v>
      </c>
      <c r="CW21" s="351">
        <f>SUM(CR20:CW20)</f>
        <v>11215904.878091943</v>
      </c>
      <c r="DC21" s="351">
        <f>SUM(CX20:DC20)</f>
        <v>1979277.3314279893</v>
      </c>
      <c r="DI21" s="351">
        <f>SUM(DD20:DI20)</f>
        <v>830542.35556151613</v>
      </c>
    </row>
    <row r="22" spans="2:113" s="348" customFormat="1" ht="14" x14ac:dyDescent="0.35">
      <c r="B22" s="407"/>
      <c r="G22" s="408"/>
      <c r="H22" s="409"/>
      <c r="I22" s="408"/>
      <c r="J22" s="408"/>
      <c r="K22" s="408"/>
      <c r="L22" s="408"/>
      <c r="M22" s="408"/>
      <c r="BS22" s="350" t="b">
        <f>BS21=AH20</f>
        <v>1</v>
      </c>
      <c r="BY22" s="350" t="b">
        <f>BY21=AI20</f>
        <v>1</v>
      </c>
      <c r="CE22" s="350" t="b">
        <f>CE21=AJ20</f>
        <v>1</v>
      </c>
      <c r="CK22" s="350" t="b">
        <f>CK21=AK20</f>
        <v>1</v>
      </c>
      <c r="CQ22" s="350" t="b">
        <f>CQ21=AL20</f>
        <v>1</v>
      </c>
      <c r="CW22" s="350" t="b">
        <f>CW21=AM20</f>
        <v>1</v>
      </c>
      <c r="DC22" s="350" t="b">
        <f>DC21=AN20</f>
        <v>1</v>
      </c>
      <c r="DI22" s="350" t="b">
        <f>DI21=AO20</f>
        <v>1</v>
      </c>
    </row>
    <row r="23" spans="2:113" s="348" customFormat="1" ht="14" x14ac:dyDescent="0.35">
      <c r="B23" s="407"/>
      <c r="G23" s="408"/>
      <c r="H23" s="409"/>
      <c r="I23" s="408"/>
      <c r="J23" s="408"/>
      <c r="K23" s="408"/>
      <c r="L23" s="408"/>
      <c r="M23" s="408"/>
      <c r="AH23" s="278">
        <f>AH18/AH16</f>
        <v>0.2</v>
      </c>
      <c r="AI23" s="278">
        <f t="shared" ref="AI23:AN23" si="58">AI18/AI16</f>
        <v>0.2</v>
      </c>
      <c r="AJ23" s="278">
        <f t="shared" si="58"/>
        <v>0.2</v>
      </c>
      <c r="AK23" s="278">
        <f t="shared" si="58"/>
        <v>0.2</v>
      </c>
      <c r="AL23" s="278">
        <f t="shared" si="58"/>
        <v>0.2</v>
      </c>
      <c r="AM23" s="278">
        <f t="shared" si="58"/>
        <v>0.2</v>
      </c>
      <c r="AN23" s="278">
        <f t="shared" si="58"/>
        <v>0.2</v>
      </c>
    </row>
    <row r="24" spans="2:113" s="348" customFormat="1" ht="14" x14ac:dyDescent="0.35">
      <c r="B24" s="407"/>
      <c r="G24" s="408"/>
      <c r="H24" s="409"/>
      <c r="I24" s="408"/>
      <c r="J24" s="408"/>
      <c r="K24" s="408"/>
      <c r="L24" s="408"/>
      <c r="M24" s="408"/>
    </row>
    <row r="25" spans="2:113" s="348" customFormat="1" ht="14" x14ac:dyDescent="0.35">
      <c r="B25" s="407"/>
      <c r="G25" s="408"/>
      <c r="H25" s="409"/>
      <c r="I25" s="408"/>
      <c r="J25" s="408"/>
      <c r="K25" s="408"/>
      <c r="L25" s="408"/>
      <c r="M25" s="408"/>
    </row>
    <row r="26" spans="2:113" s="348" customFormat="1" ht="14" x14ac:dyDescent="0.35">
      <c r="B26" s="407"/>
      <c r="G26" s="408"/>
      <c r="H26" s="409"/>
      <c r="I26" s="408"/>
      <c r="J26" s="408"/>
      <c r="K26" s="408"/>
      <c r="L26" s="408"/>
      <c r="M26" s="408"/>
    </row>
    <row r="27" spans="2:113" s="348" customFormat="1" ht="14" x14ac:dyDescent="0.35">
      <c r="B27" s="407"/>
      <c r="G27" s="408"/>
      <c r="H27" s="409"/>
      <c r="I27" s="408"/>
      <c r="J27" s="408"/>
      <c r="K27" s="408"/>
      <c r="L27" s="408"/>
      <c r="M27" s="408"/>
    </row>
    <row r="28" spans="2:113" ht="14" x14ac:dyDescent="0.3">
      <c r="AH28" s="410"/>
      <c r="AI28" s="410"/>
      <c r="AJ28" s="410"/>
      <c r="AK28" s="410"/>
      <c r="AL28" s="410"/>
      <c r="AM28" s="410"/>
      <c r="AN28" s="410"/>
      <c r="AO28" s="410"/>
      <c r="AP28" s="410"/>
      <c r="AQ28" s="410"/>
      <c r="AR28" s="410"/>
      <c r="AS28" s="410"/>
      <c r="AT28" s="410"/>
      <c r="AU28" s="410"/>
      <c r="AV28" s="410"/>
      <c r="AW28" s="410"/>
      <c r="AX28" s="410"/>
      <c r="AY28" s="410"/>
      <c r="AZ28" s="410"/>
      <c r="BA28" s="410"/>
      <c r="BB28" s="410"/>
      <c r="BC28" s="410"/>
      <c r="BD28" s="410"/>
      <c r="BE28" s="410"/>
      <c r="BF28" s="410"/>
      <c r="BG28" s="410"/>
      <c r="BH28" s="410"/>
      <c r="BI28" s="410"/>
      <c r="BM28" s="348"/>
      <c r="BN28" s="348"/>
      <c r="BO28" s="348"/>
      <c r="BP28" s="348"/>
      <c r="BQ28" s="348"/>
      <c r="BR28" s="348"/>
      <c r="BS28" s="348"/>
      <c r="BT28" s="348"/>
      <c r="BU28" s="348"/>
      <c r="BV28" s="348"/>
      <c r="BW28" s="348"/>
      <c r="BX28" s="348"/>
      <c r="BY28" s="348"/>
      <c r="BZ28" s="348"/>
      <c r="CA28" s="348"/>
      <c r="CB28" s="348"/>
      <c r="CC28" s="348"/>
      <c r="CD28" s="348"/>
      <c r="CE28" s="348"/>
      <c r="CF28" s="348"/>
      <c r="CG28" s="348"/>
      <c r="CH28" s="348"/>
      <c r="CI28" s="348"/>
      <c r="CJ28" s="348"/>
      <c r="CK28" s="348"/>
      <c r="CL28" s="348"/>
      <c r="CM28" s="348"/>
      <c r="CN28" s="348"/>
      <c r="CO28" s="348"/>
      <c r="CP28" s="348"/>
      <c r="CQ28" s="348"/>
      <c r="CR28" s="348"/>
      <c r="CS28" s="348"/>
      <c r="CT28" s="348"/>
      <c r="CU28" s="348"/>
      <c r="CV28" s="348"/>
      <c r="CW28" s="348"/>
      <c r="CX28" s="348"/>
      <c r="CY28" s="348"/>
      <c r="CZ28" s="348"/>
      <c r="DA28" s="348"/>
      <c r="DB28" s="348"/>
      <c r="DC28" s="348"/>
      <c r="DD28" s="348"/>
      <c r="DE28" s="348"/>
      <c r="DF28" s="348"/>
      <c r="DG28" s="348"/>
      <c r="DH28" s="348"/>
      <c r="DI28" s="348"/>
    </row>
    <row r="29" spans="2:113" ht="14" x14ac:dyDescent="0.3">
      <c r="AH29" s="410"/>
      <c r="AI29" s="410"/>
      <c r="AJ29" s="410"/>
      <c r="AK29" s="410"/>
      <c r="AL29" s="410"/>
      <c r="AM29" s="410"/>
      <c r="AN29" s="410"/>
      <c r="AO29" s="410"/>
      <c r="AP29" s="410"/>
      <c r="AQ29" s="410"/>
      <c r="AR29" s="410"/>
      <c r="AS29" s="410"/>
      <c r="AT29" s="410"/>
      <c r="AU29" s="410"/>
      <c r="AV29" s="410"/>
      <c r="AW29" s="410"/>
      <c r="AX29" s="410"/>
      <c r="AY29" s="410"/>
      <c r="AZ29" s="410"/>
      <c r="BA29" s="410"/>
      <c r="BB29" s="410"/>
      <c r="BC29" s="410"/>
      <c r="BD29" s="410"/>
      <c r="BE29" s="410"/>
      <c r="BF29" s="410"/>
      <c r="BG29" s="410"/>
      <c r="BH29" s="410"/>
      <c r="BI29" s="410"/>
      <c r="BM29" s="348"/>
      <c r="BN29" s="348"/>
      <c r="BO29" s="348"/>
      <c r="BP29" s="348"/>
      <c r="BQ29" s="348"/>
      <c r="BR29" s="348"/>
      <c r="BS29" s="348"/>
      <c r="BT29" s="348"/>
      <c r="BU29" s="348"/>
      <c r="BV29" s="348"/>
      <c r="BW29" s="348"/>
      <c r="BX29" s="348"/>
      <c r="BY29" s="348"/>
      <c r="BZ29" s="348"/>
      <c r="CA29" s="348"/>
      <c r="CB29" s="348"/>
      <c r="CC29" s="348"/>
      <c r="CD29" s="348"/>
      <c r="CE29" s="348"/>
      <c r="CF29" s="348"/>
      <c r="CG29" s="348"/>
      <c r="CH29" s="348"/>
      <c r="CI29" s="348"/>
      <c r="CJ29" s="348"/>
      <c r="CK29" s="348"/>
      <c r="CL29" s="348"/>
      <c r="CM29" s="348"/>
      <c r="CN29" s="348"/>
      <c r="CO29" s="348"/>
      <c r="CP29" s="348"/>
      <c r="CQ29" s="348"/>
      <c r="CR29" s="348"/>
      <c r="CS29" s="348"/>
      <c r="CT29" s="348"/>
      <c r="CU29" s="348"/>
      <c r="CV29" s="348"/>
      <c r="CW29" s="348"/>
      <c r="CX29" s="348"/>
      <c r="CY29" s="348"/>
      <c r="CZ29" s="348"/>
      <c r="DA29" s="348"/>
      <c r="DB29" s="348"/>
      <c r="DC29" s="348"/>
      <c r="DD29" s="348"/>
      <c r="DE29" s="348"/>
      <c r="DF29" s="348"/>
      <c r="DG29" s="348"/>
      <c r="DH29" s="348"/>
      <c r="DI29" s="348"/>
    </row>
    <row r="30" spans="2:113" ht="14" x14ac:dyDescent="0.3">
      <c r="AH30" s="410"/>
      <c r="AI30" s="410"/>
      <c r="AJ30" s="410"/>
      <c r="AK30" s="410"/>
      <c r="AL30" s="410"/>
      <c r="AM30" s="410"/>
      <c r="AN30" s="410"/>
      <c r="AO30" s="410"/>
      <c r="AP30" s="410"/>
      <c r="AQ30" s="410"/>
      <c r="AR30" s="410"/>
      <c r="AS30" s="410"/>
      <c r="AT30" s="410"/>
      <c r="AU30" s="410"/>
      <c r="AV30" s="410"/>
      <c r="AW30" s="410"/>
      <c r="AX30" s="410"/>
      <c r="AY30" s="410"/>
      <c r="AZ30" s="410"/>
      <c r="BA30" s="410"/>
      <c r="BB30" s="410"/>
      <c r="BC30" s="410"/>
      <c r="BD30" s="410"/>
      <c r="BE30" s="410"/>
      <c r="BF30" s="410"/>
      <c r="BG30" s="410"/>
      <c r="BH30" s="410"/>
      <c r="BI30" s="410"/>
      <c r="BM30" s="348"/>
      <c r="BN30" s="348"/>
      <c r="BO30" s="348"/>
      <c r="BP30" s="348"/>
      <c r="BQ30" s="348"/>
      <c r="BR30" s="348"/>
      <c r="BS30" s="348"/>
      <c r="BT30" s="348"/>
      <c r="BU30" s="348"/>
      <c r="BV30" s="348"/>
      <c r="BW30" s="348"/>
      <c r="BX30" s="348"/>
      <c r="BY30" s="348"/>
      <c r="BZ30" s="348"/>
      <c r="CA30" s="348"/>
      <c r="CB30" s="348"/>
      <c r="CC30" s="348"/>
      <c r="CD30" s="348"/>
      <c r="CE30" s="348"/>
      <c r="CF30" s="348"/>
      <c r="CG30" s="348"/>
      <c r="CH30" s="348"/>
      <c r="CI30" s="348"/>
      <c r="CJ30" s="348"/>
      <c r="CK30" s="348"/>
      <c r="CL30" s="348"/>
      <c r="CM30" s="348"/>
      <c r="CN30" s="348"/>
      <c r="CO30" s="348"/>
      <c r="CP30" s="348"/>
      <c r="CQ30" s="348"/>
      <c r="CR30" s="348"/>
      <c r="CS30" s="348"/>
      <c r="CT30" s="348"/>
      <c r="CU30" s="348"/>
      <c r="CV30" s="348"/>
      <c r="CW30" s="348"/>
      <c r="CX30" s="348"/>
      <c r="CY30" s="348"/>
      <c r="CZ30" s="348"/>
      <c r="DA30" s="348"/>
      <c r="DB30" s="348"/>
      <c r="DC30" s="348"/>
      <c r="DD30" s="348"/>
      <c r="DE30" s="348"/>
      <c r="DF30" s="348"/>
      <c r="DG30" s="348"/>
      <c r="DH30" s="348"/>
      <c r="DI30" s="348"/>
    </row>
    <row r="31" spans="2:113" ht="14" x14ac:dyDescent="0.3">
      <c r="AH31" s="410"/>
      <c r="AI31" s="410"/>
      <c r="AJ31" s="410"/>
      <c r="AK31" s="410"/>
      <c r="AL31" s="410"/>
      <c r="AM31" s="410"/>
      <c r="AN31" s="410"/>
      <c r="AO31" s="410"/>
      <c r="AP31" s="410"/>
      <c r="AQ31" s="410"/>
      <c r="AR31" s="410"/>
      <c r="AS31" s="410"/>
      <c r="AT31" s="410"/>
      <c r="AU31" s="410"/>
      <c r="AV31" s="410"/>
      <c r="AW31" s="410"/>
      <c r="AX31" s="410"/>
      <c r="AY31" s="410"/>
      <c r="AZ31" s="410"/>
      <c r="BA31" s="410"/>
      <c r="BB31" s="410"/>
      <c r="BC31" s="410"/>
      <c r="BD31" s="410"/>
      <c r="BE31" s="410"/>
      <c r="BF31" s="410"/>
      <c r="BG31" s="410"/>
      <c r="BH31" s="410"/>
      <c r="BI31" s="410"/>
      <c r="BM31" s="348"/>
      <c r="BN31" s="348"/>
      <c r="BO31" s="348"/>
      <c r="BP31" s="348"/>
      <c r="BQ31" s="348"/>
      <c r="BR31" s="348"/>
      <c r="BS31" s="348"/>
      <c r="BT31" s="348"/>
      <c r="BU31" s="348"/>
      <c r="BV31" s="348"/>
      <c r="BW31" s="348"/>
      <c r="BX31" s="348"/>
      <c r="BY31" s="348"/>
      <c r="BZ31" s="348"/>
      <c r="CA31" s="348"/>
      <c r="CB31" s="348"/>
      <c r="CC31" s="348"/>
      <c r="CD31" s="348"/>
      <c r="CE31" s="348"/>
      <c r="CF31" s="348"/>
      <c r="CG31" s="348"/>
      <c r="CH31" s="348"/>
      <c r="CI31" s="348"/>
      <c r="CJ31" s="348"/>
      <c r="CK31" s="348"/>
      <c r="CL31" s="348"/>
      <c r="CM31" s="348"/>
      <c r="CN31" s="348"/>
      <c r="CO31" s="348"/>
      <c r="CP31" s="348"/>
      <c r="CQ31" s="348"/>
      <c r="CR31" s="348"/>
      <c r="CS31" s="348"/>
      <c r="CT31" s="348"/>
      <c r="CU31" s="348"/>
      <c r="CV31" s="348"/>
      <c r="CW31" s="348"/>
      <c r="CX31" s="348"/>
      <c r="CY31" s="348"/>
      <c r="CZ31" s="348"/>
      <c r="DA31" s="348"/>
      <c r="DB31" s="348"/>
      <c r="DC31" s="348"/>
      <c r="DD31" s="348"/>
      <c r="DE31" s="348"/>
      <c r="DF31" s="348"/>
      <c r="DG31" s="348"/>
      <c r="DH31" s="348"/>
      <c r="DI31" s="348"/>
    </row>
    <row r="32" spans="2:113" ht="14" x14ac:dyDescent="0.3">
      <c r="AH32" s="410"/>
      <c r="AI32" s="410"/>
      <c r="AJ32" s="410"/>
      <c r="AK32" s="410"/>
      <c r="AL32" s="410"/>
      <c r="AM32" s="410"/>
      <c r="AN32" s="410"/>
      <c r="AO32" s="410"/>
      <c r="AP32" s="410"/>
      <c r="AQ32" s="410"/>
      <c r="AR32" s="410"/>
      <c r="AS32" s="410"/>
      <c r="AT32" s="410"/>
      <c r="AU32" s="410"/>
      <c r="AV32" s="410"/>
      <c r="AW32" s="410"/>
      <c r="AX32" s="410"/>
      <c r="AY32" s="410"/>
      <c r="AZ32" s="410"/>
      <c r="BA32" s="410"/>
      <c r="BB32" s="410"/>
      <c r="BC32" s="410"/>
      <c r="BD32" s="410"/>
      <c r="BE32" s="410"/>
      <c r="BF32" s="410"/>
      <c r="BG32" s="410"/>
      <c r="BH32" s="410"/>
      <c r="BI32" s="410"/>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348"/>
      <c r="DC32" s="348"/>
      <c r="DD32" s="348"/>
      <c r="DE32" s="348"/>
      <c r="DF32" s="348"/>
      <c r="DG32" s="348"/>
      <c r="DH32" s="348"/>
      <c r="DI32" s="348"/>
    </row>
    <row r="33" spans="34:113" ht="14" x14ac:dyDescent="0.3">
      <c r="AH33" s="410"/>
      <c r="AI33" s="410"/>
      <c r="AJ33" s="410"/>
      <c r="AK33" s="410"/>
      <c r="AL33" s="410"/>
      <c r="AM33" s="410"/>
      <c r="AN33" s="410"/>
      <c r="AO33" s="410"/>
      <c r="AP33" s="410"/>
      <c r="AQ33" s="410"/>
      <c r="AR33" s="410"/>
      <c r="AS33" s="410"/>
      <c r="AT33" s="410"/>
      <c r="AU33" s="410"/>
      <c r="AV33" s="410"/>
      <c r="AW33" s="410"/>
      <c r="AX33" s="410"/>
      <c r="AY33" s="410"/>
      <c r="AZ33" s="410"/>
      <c r="BA33" s="410"/>
      <c r="BB33" s="410"/>
      <c r="BC33" s="410"/>
      <c r="BD33" s="410"/>
      <c r="BE33" s="410"/>
      <c r="BF33" s="410"/>
      <c r="BG33" s="410"/>
      <c r="BH33" s="410"/>
      <c r="BI33" s="410"/>
      <c r="BM33" s="348"/>
      <c r="BN33" s="348"/>
      <c r="BO33" s="348"/>
      <c r="BP33" s="348"/>
      <c r="BQ33" s="348"/>
      <c r="BR33" s="348"/>
      <c r="BS33" s="348"/>
      <c r="BT33" s="348"/>
      <c r="BU33" s="348"/>
      <c r="BV33" s="348"/>
      <c r="BW33" s="348"/>
      <c r="BX33" s="348"/>
      <c r="BY33" s="348"/>
      <c r="BZ33" s="348"/>
      <c r="CA33" s="348"/>
      <c r="CB33" s="348"/>
      <c r="CC33" s="348"/>
      <c r="CD33" s="348"/>
      <c r="CE33" s="348"/>
      <c r="CF33" s="348"/>
      <c r="CG33" s="348"/>
      <c r="CH33" s="348"/>
      <c r="CI33" s="348"/>
      <c r="CJ33" s="348"/>
      <c r="CK33" s="348"/>
      <c r="CL33" s="348"/>
      <c r="CM33" s="348"/>
      <c r="CN33" s="348"/>
      <c r="CO33" s="348"/>
      <c r="CP33" s="348"/>
      <c r="CQ33" s="348"/>
      <c r="CR33" s="348"/>
      <c r="CS33" s="348"/>
      <c r="CT33" s="348"/>
      <c r="CU33" s="348"/>
      <c r="CV33" s="348"/>
      <c r="CW33" s="348"/>
      <c r="CX33" s="348"/>
      <c r="CY33" s="348"/>
      <c r="CZ33" s="348"/>
      <c r="DA33" s="348"/>
      <c r="DB33" s="348"/>
      <c r="DC33" s="348"/>
      <c r="DD33" s="348"/>
      <c r="DE33" s="348"/>
      <c r="DF33" s="348"/>
      <c r="DG33" s="348"/>
      <c r="DH33" s="348"/>
      <c r="DI33" s="348"/>
    </row>
    <row r="34" spans="34:113" ht="14" x14ac:dyDescent="0.3">
      <c r="AH34" s="410"/>
      <c r="AI34" s="410"/>
      <c r="AJ34" s="410"/>
      <c r="AK34" s="410"/>
      <c r="AL34" s="410"/>
      <c r="AM34" s="410"/>
      <c r="AN34" s="410"/>
      <c r="AO34" s="410"/>
      <c r="AP34" s="410"/>
      <c r="AQ34" s="410"/>
      <c r="AR34" s="410"/>
      <c r="AS34" s="410"/>
      <c r="AT34" s="410"/>
      <c r="AU34" s="410"/>
      <c r="AV34" s="410"/>
      <c r="AW34" s="410"/>
      <c r="AX34" s="410"/>
      <c r="AY34" s="410"/>
      <c r="AZ34" s="410"/>
      <c r="BA34" s="410"/>
      <c r="BB34" s="410"/>
      <c r="BC34" s="410"/>
      <c r="BD34" s="410"/>
      <c r="BE34" s="410"/>
      <c r="BF34" s="410"/>
      <c r="BG34" s="410"/>
      <c r="BH34" s="410"/>
      <c r="BI34" s="410"/>
      <c r="BM34" s="348"/>
      <c r="BN34" s="348"/>
      <c r="BO34" s="348"/>
      <c r="BP34" s="348"/>
      <c r="BQ34" s="348"/>
      <c r="BR34" s="348"/>
      <c r="BS34" s="348"/>
      <c r="BT34" s="348"/>
      <c r="BU34" s="348"/>
      <c r="BV34" s="348"/>
      <c r="BW34" s="348"/>
      <c r="BX34" s="348"/>
      <c r="BY34" s="348"/>
      <c r="BZ34" s="348"/>
      <c r="CA34" s="348"/>
      <c r="CB34" s="348"/>
      <c r="CC34" s="348"/>
      <c r="CD34" s="348"/>
      <c r="CE34" s="348"/>
      <c r="CF34" s="348"/>
      <c r="CG34" s="348"/>
      <c r="CH34" s="348"/>
      <c r="CI34" s="348"/>
      <c r="CJ34" s="348"/>
      <c r="CK34" s="348"/>
      <c r="CL34" s="348"/>
      <c r="CM34" s="348"/>
      <c r="CN34" s="348"/>
      <c r="CO34" s="348"/>
      <c r="CP34" s="348"/>
      <c r="CQ34" s="348"/>
      <c r="CR34" s="348"/>
      <c r="CS34" s="348"/>
      <c r="CT34" s="348"/>
      <c r="CU34" s="348"/>
      <c r="CV34" s="348"/>
      <c r="CW34" s="348"/>
      <c r="CX34" s="348"/>
      <c r="CY34" s="348"/>
      <c r="CZ34" s="348"/>
      <c r="DA34" s="348"/>
      <c r="DB34" s="348"/>
      <c r="DC34" s="348"/>
      <c r="DD34" s="348"/>
      <c r="DE34" s="348"/>
      <c r="DF34" s="348"/>
      <c r="DG34" s="348"/>
      <c r="DH34" s="348"/>
      <c r="DI34" s="348"/>
    </row>
    <row r="35" spans="34:113" x14ac:dyDescent="0.35">
      <c r="AH35" s="410"/>
      <c r="AI35" s="410"/>
      <c r="AJ35" s="410"/>
      <c r="AK35" s="410"/>
      <c r="AL35" s="410"/>
      <c r="AM35" s="410"/>
      <c r="AN35" s="410"/>
      <c r="AO35" s="410"/>
      <c r="AP35" s="410"/>
      <c r="AQ35" s="410"/>
      <c r="AR35" s="410"/>
      <c r="AS35" s="410"/>
      <c r="AT35" s="410"/>
      <c r="AU35" s="410"/>
      <c r="AV35" s="410"/>
      <c r="AW35" s="410"/>
      <c r="AX35" s="410"/>
      <c r="AY35" s="410"/>
      <c r="AZ35" s="410"/>
      <c r="BA35" s="410"/>
      <c r="BB35" s="410"/>
      <c r="BC35" s="410"/>
      <c r="BD35" s="410"/>
      <c r="BE35" s="410"/>
      <c r="BF35" s="410"/>
      <c r="BG35" s="410"/>
      <c r="BH35" s="410"/>
      <c r="BI35" s="410"/>
      <c r="BM35" s="348"/>
    </row>
    <row r="36" spans="34:113" x14ac:dyDescent="0.35">
      <c r="AH36" s="410"/>
      <c r="AI36" s="410"/>
      <c r="AJ36" s="410"/>
      <c r="AK36" s="410"/>
      <c r="AL36" s="410"/>
      <c r="AM36" s="410"/>
      <c r="AN36" s="410"/>
      <c r="AO36" s="410"/>
      <c r="AP36" s="410"/>
      <c r="AQ36" s="410"/>
      <c r="AR36" s="410"/>
      <c r="AS36" s="410"/>
      <c r="AT36" s="410"/>
      <c r="AU36" s="410"/>
      <c r="AV36" s="410"/>
      <c r="AW36" s="410"/>
      <c r="AX36" s="410"/>
      <c r="AY36" s="410"/>
      <c r="AZ36" s="410"/>
      <c r="BA36" s="410"/>
      <c r="BB36" s="410"/>
      <c r="BC36" s="410"/>
      <c r="BD36" s="410"/>
      <c r="BE36" s="410"/>
      <c r="BF36" s="410"/>
      <c r="BG36" s="410"/>
      <c r="BH36" s="410"/>
      <c r="BI36" s="410"/>
      <c r="BM36" s="348"/>
    </row>
    <row r="37" spans="34:113" x14ac:dyDescent="0.35">
      <c r="AH37" s="410"/>
      <c r="AI37" s="410"/>
      <c r="AJ37" s="410"/>
      <c r="AK37" s="410"/>
      <c r="AL37" s="410"/>
      <c r="AM37" s="410"/>
      <c r="AN37" s="410"/>
      <c r="AO37" s="410"/>
      <c r="AP37" s="410"/>
      <c r="AQ37" s="410"/>
      <c r="AR37" s="410"/>
      <c r="AS37" s="410"/>
      <c r="AT37" s="410"/>
      <c r="AU37" s="410"/>
      <c r="AV37" s="410"/>
      <c r="AW37" s="410"/>
      <c r="AX37" s="410"/>
      <c r="AY37" s="410"/>
      <c r="AZ37" s="410"/>
      <c r="BA37" s="410"/>
      <c r="BB37" s="410"/>
      <c r="BC37" s="410"/>
      <c r="BD37" s="410"/>
      <c r="BE37" s="410"/>
      <c r="BF37" s="410"/>
      <c r="BG37" s="410"/>
      <c r="BH37" s="410"/>
      <c r="BI37" s="410"/>
      <c r="BM37" s="348"/>
    </row>
    <row r="38" spans="34:113" x14ac:dyDescent="0.35">
      <c r="AH38" s="410"/>
      <c r="AI38" s="410"/>
      <c r="AJ38" s="410"/>
      <c r="AK38" s="410"/>
      <c r="AL38" s="410"/>
      <c r="AM38" s="410"/>
      <c r="AN38" s="410"/>
      <c r="AO38" s="410"/>
      <c r="AP38" s="410"/>
      <c r="AQ38" s="410"/>
      <c r="AR38" s="410"/>
      <c r="AS38" s="410"/>
      <c r="AT38" s="410"/>
      <c r="AU38" s="410"/>
      <c r="AV38" s="410"/>
      <c r="AW38" s="410"/>
      <c r="AX38" s="410"/>
      <c r="AY38" s="410"/>
      <c r="AZ38" s="410"/>
      <c r="BA38" s="410"/>
      <c r="BB38" s="410"/>
      <c r="BC38" s="410"/>
      <c r="BD38" s="410"/>
      <c r="BE38" s="410"/>
      <c r="BF38" s="410"/>
      <c r="BG38" s="410"/>
      <c r="BH38" s="410"/>
      <c r="BI38" s="410"/>
      <c r="BM38" s="348"/>
    </row>
    <row r="39" spans="34:113" x14ac:dyDescent="0.35">
      <c r="AH39" s="410"/>
      <c r="AI39" s="410"/>
      <c r="AJ39" s="410"/>
      <c r="AK39" s="410"/>
      <c r="AL39" s="410"/>
      <c r="AM39" s="410"/>
      <c r="AN39" s="410"/>
      <c r="AO39" s="410"/>
      <c r="AP39" s="410"/>
      <c r="AQ39" s="410"/>
      <c r="AR39" s="410"/>
      <c r="AS39" s="410"/>
      <c r="AT39" s="410"/>
      <c r="AU39" s="410"/>
      <c r="AV39" s="410"/>
      <c r="AW39" s="410"/>
      <c r="AX39" s="410"/>
      <c r="AY39" s="410"/>
      <c r="AZ39" s="410"/>
      <c r="BA39" s="410"/>
      <c r="BB39" s="410"/>
      <c r="BC39" s="410"/>
      <c r="BD39" s="410"/>
      <c r="BE39" s="410"/>
      <c r="BF39" s="410"/>
      <c r="BG39" s="410"/>
      <c r="BH39" s="410"/>
      <c r="BI39" s="410"/>
      <c r="BM39" s="348"/>
    </row>
    <row r="40" spans="34:113" x14ac:dyDescent="0.35">
      <c r="AH40" s="410"/>
      <c r="AI40" s="410"/>
      <c r="AJ40" s="410"/>
      <c r="AK40" s="410"/>
      <c r="AL40" s="410"/>
      <c r="AM40" s="410"/>
      <c r="AN40" s="410"/>
      <c r="AO40" s="410"/>
      <c r="AP40" s="410"/>
      <c r="AQ40" s="410"/>
      <c r="AR40" s="410"/>
      <c r="AS40" s="410"/>
      <c r="AT40" s="410"/>
      <c r="AU40" s="410"/>
      <c r="AV40" s="410"/>
      <c r="AW40" s="410"/>
      <c r="AX40" s="410"/>
      <c r="AY40" s="410"/>
      <c r="AZ40" s="410"/>
      <c r="BA40" s="410"/>
      <c r="BB40" s="410"/>
      <c r="BC40" s="410"/>
      <c r="BD40" s="410"/>
      <c r="BE40" s="410"/>
      <c r="BF40" s="410"/>
      <c r="BG40" s="410"/>
      <c r="BH40" s="410"/>
      <c r="BI40" s="410"/>
      <c r="BM40" s="348"/>
    </row>
    <row r="41" spans="34:113" x14ac:dyDescent="0.35">
      <c r="AH41" s="410"/>
      <c r="AI41" s="410"/>
      <c r="AJ41" s="410"/>
      <c r="AK41" s="410"/>
      <c r="AL41" s="410"/>
      <c r="AM41" s="410"/>
      <c r="AN41" s="410"/>
      <c r="AO41" s="410"/>
      <c r="AP41" s="410"/>
      <c r="AQ41" s="410"/>
      <c r="AR41" s="410"/>
      <c r="AS41" s="410"/>
      <c r="AT41" s="410"/>
      <c r="AU41" s="410"/>
      <c r="AV41" s="410"/>
      <c r="AW41" s="410"/>
      <c r="AX41" s="410"/>
      <c r="AY41" s="410"/>
      <c r="AZ41" s="410"/>
      <c r="BA41" s="410"/>
      <c r="BB41" s="410"/>
      <c r="BC41" s="410"/>
      <c r="BD41" s="410"/>
      <c r="BE41" s="410"/>
      <c r="BF41" s="410"/>
      <c r="BG41" s="410"/>
      <c r="BH41" s="410"/>
      <c r="BI41" s="410"/>
    </row>
    <row r="42" spans="34:113" x14ac:dyDescent="0.35">
      <c r="AH42" s="410"/>
      <c r="AI42" s="410"/>
      <c r="AJ42" s="410"/>
      <c r="AK42" s="410"/>
      <c r="AL42" s="410"/>
      <c r="AM42" s="410"/>
      <c r="AN42" s="410"/>
      <c r="AO42" s="410"/>
      <c r="AP42" s="410"/>
      <c r="AQ42" s="410"/>
      <c r="AR42" s="410"/>
      <c r="AS42" s="410"/>
      <c r="AT42" s="410"/>
      <c r="AU42" s="410"/>
      <c r="AV42" s="410"/>
      <c r="AW42" s="410"/>
      <c r="AX42" s="410"/>
      <c r="AY42" s="410"/>
      <c r="AZ42" s="410"/>
      <c r="BA42" s="410"/>
      <c r="BB42" s="410"/>
      <c r="BC42" s="410"/>
      <c r="BD42" s="410"/>
      <c r="BE42" s="410"/>
      <c r="BF42" s="410"/>
      <c r="BG42" s="410"/>
      <c r="BH42" s="410"/>
      <c r="BI42" s="410"/>
    </row>
    <row r="43" spans="34:113" x14ac:dyDescent="0.35">
      <c r="AH43" s="410"/>
      <c r="AI43" s="410"/>
      <c r="AJ43" s="410"/>
      <c r="AK43" s="410"/>
      <c r="AL43" s="410"/>
      <c r="AM43" s="410"/>
      <c r="AN43" s="410"/>
      <c r="AO43" s="410"/>
      <c r="AP43" s="410"/>
      <c r="AQ43" s="410"/>
      <c r="AR43" s="410"/>
      <c r="AS43" s="410"/>
      <c r="AT43" s="410"/>
      <c r="AU43" s="410"/>
      <c r="AV43" s="410"/>
      <c r="AW43" s="410"/>
      <c r="AX43" s="410"/>
      <c r="AY43" s="410"/>
      <c r="AZ43" s="410"/>
      <c r="BA43" s="410"/>
      <c r="BB43" s="410"/>
      <c r="BC43" s="410"/>
      <c r="BD43" s="410"/>
      <c r="BE43" s="410"/>
      <c r="BF43" s="410"/>
      <c r="BG43" s="410"/>
      <c r="BH43" s="410"/>
      <c r="BI43" s="410"/>
    </row>
    <row r="44" spans="34:113" x14ac:dyDescent="0.35">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row>
    <row r="45" spans="34:113" x14ac:dyDescent="0.35">
      <c r="AH45" s="410"/>
      <c r="AI45" s="410"/>
      <c r="AJ45" s="410"/>
      <c r="AK45" s="410"/>
      <c r="AL45" s="410"/>
      <c r="AM45" s="410"/>
      <c r="AN45" s="410"/>
      <c r="AO45" s="410"/>
      <c r="AP45" s="410"/>
      <c r="AQ45" s="410"/>
      <c r="AR45" s="410"/>
      <c r="AS45" s="410"/>
      <c r="AT45" s="410"/>
      <c r="AU45" s="410"/>
      <c r="AV45" s="410"/>
      <c r="AW45" s="410"/>
      <c r="AX45" s="410"/>
      <c r="AY45" s="410"/>
      <c r="AZ45" s="410"/>
      <c r="BA45" s="410"/>
      <c r="BB45" s="410"/>
      <c r="BC45" s="410"/>
      <c r="BD45" s="410"/>
      <c r="BE45" s="410"/>
      <c r="BF45" s="410"/>
      <c r="BG45" s="410"/>
      <c r="BH45" s="410"/>
      <c r="BI45" s="410"/>
    </row>
    <row r="46" spans="34:113" x14ac:dyDescent="0.35">
      <c r="AH46" s="410"/>
      <c r="AI46" s="410"/>
      <c r="AJ46" s="410"/>
      <c r="AK46" s="410"/>
      <c r="AL46" s="410"/>
      <c r="AM46" s="410"/>
      <c r="AN46" s="410"/>
      <c r="AO46" s="410"/>
      <c r="AP46" s="410"/>
      <c r="AQ46" s="410"/>
      <c r="AR46" s="410"/>
      <c r="AS46" s="410"/>
      <c r="AT46" s="410"/>
      <c r="AU46" s="410"/>
      <c r="AV46" s="410"/>
      <c r="AW46" s="410"/>
      <c r="AX46" s="410"/>
      <c r="AY46" s="410"/>
      <c r="AZ46" s="410"/>
      <c r="BA46" s="410"/>
      <c r="BB46" s="410"/>
      <c r="BC46" s="410"/>
      <c r="BD46" s="410"/>
      <c r="BE46" s="410"/>
      <c r="BF46" s="410"/>
      <c r="BG46" s="410"/>
      <c r="BH46" s="410"/>
      <c r="BI46" s="410"/>
    </row>
  </sheetData>
  <autoFilter ref="A1:BK16" xr:uid="{00000000-0009-0000-0000-00000D000000}"/>
  <mergeCells count="8">
    <mergeCell ref="CX1:DC1"/>
    <mergeCell ref="DD1:DI1"/>
    <mergeCell ref="BN1:BS1"/>
    <mergeCell ref="BT1:BY1"/>
    <mergeCell ref="BZ1:CE1"/>
    <mergeCell ref="CF1:CK1"/>
    <mergeCell ref="CL1:CQ1"/>
    <mergeCell ref="CR1:CW1"/>
  </mergeCells>
  <conditionalFormatting sqref="D21:D27">
    <cfRule type="containsText" dxfId="335" priority="22" operator="containsText" text="Critical">
      <formula>NOT(ISERROR(SEARCH("Critical",D21)))</formula>
    </cfRule>
    <cfRule type="containsText" dxfId="334" priority="23" operator="containsText" text="Essential">
      <formula>NOT(ISERROR(SEARCH("Essential",D21)))</formula>
    </cfRule>
    <cfRule type="containsText" dxfId="333" priority="24" operator="containsText" text="Desirable">
      <formula>NOT(ISERROR(SEARCH("Desirable",D21)))</formula>
    </cfRule>
  </conditionalFormatting>
  <conditionalFormatting sqref="O21:AA27">
    <cfRule type="containsText" dxfId="325" priority="8" operator="containsText" text="20+">
      <formula>NOT(ISERROR(SEARCH("20+",O21)))</formula>
    </cfRule>
    <cfRule type="containsText" dxfId="324" priority="9" operator="containsText" text="unknown">
      <formula>NOT(ISERROR(SEARCH("unknown",O21)))</formula>
    </cfRule>
    <cfRule type="containsText" dxfId="323" priority="10" operator="containsText" text="15-20 years">
      <formula>NOT(ISERROR(SEARCH("15-20 years",O21)))</formula>
    </cfRule>
    <cfRule type="containsText" dxfId="322" priority="11" operator="containsText" text="10-15 years">
      <formula>NOT(ISERROR(SEARCH("10-15 years",O21)))</formula>
    </cfRule>
    <cfRule type="containsText" dxfId="321" priority="12" operator="containsText" text="5-10 years">
      <formula>NOT(ISERROR(SEARCH("5-10 years",O21)))</formula>
    </cfRule>
    <cfRule type="containsText" dxfId="320" priority="13" operator="containsText" text="0-20 years">
      <formula>NOT(ISERROR(SEARCH("0-20 years",O21)))</formula>
    </cfRule>
    <cfRule type="containsText" dxfId="319" priority="14" operator="containsText" text="0-5 years">
      <formula>NOT(ISERROR(SEARCH("0-5 years",O21)))</formula>
    </cfRule>
  </conditionalFormatting>
  <conditionalFormatting sqref="AA9">
    <cfRule type="containsText" dxfId="318" priority="1" operator="containsText" text="20+">
      <formula>NOT(ISERROR(SEARCH("20+",AA9)))</formula>
    </cfRule>
    <cfRule type="containsText" dxfId="317" priority="2" operator="containsText" text="unknown">
      <formula>NOT(ISERROR(SEARCH("unknown",AA9)))</formula>
    </cfRule>
    <cfRule type="containsText" dxfId="316" priority="3" operator="containsText" text="15-20 years">
      <formula>NOT(ISERROR(SEARCH("15-20 years",AA9)))</formula>
    </cfRule>
    <cfRule type="containsText" dxfId="315" priority="4" operator="containsText" text="10-15 years">
      <formula>NOT(ISERROR(SEARCH("10-15 years",AA9)))</formula>
    </cfRule>
    <cfRule type="containsText" dxfId="314" priority="5" operator="containsText" text="5-10 years">
      <formula>NOT(ISERROR(SEARCH("5-10 years",AA9)))</formula>
    </cfRule>
    <cfRule type="containsText" dxfId="313" priority="6" operator="containsText" text="0-20 years">
      <formula>NOT(ISERROR(SEARCH("0-20 years",AA9)))</formula>
    </cfRule>
    <cfRule type="containsText" dxfId="312" priority="7" operator="containsText" text="0-5 years">
      <formula>NOT(ISERROR(SEARCH("0-5 years",AA9)))</formula>
    </cfRule>
  </conditionalFormatting>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ontainsText" priority="25" operator="containsText" text="Critical" id="{1688A95E-F1E3-4271-9897-8E45EB0D33AE}">
            <xm:f>NOT(ISERROR(SEARCH("Critical",'K:\Projects\HGGT0003 - HGGT IDP Update 2021-22\[20190414_HGGT_IDP_2019_Schedule.xlsx]Utilities'!#REF!)))</xm:f>
            <x14:dxf>
              <font>
                <color theme="0"/>
              </font>
              <fill>
                <patternFill>
                  <bgColor rgb="FFFF0000"/>
                </patternFill>
              </fill>
            </x14:dxf>
          </x14:cfRule>
          <x14:cfRule type="containsText" priority="26" operator="containsText" text="Essential" id="{E83932A7-ADBC-49C0-957D-1D2A5136BF9A}">
            <xm:f>NOT(ISERROR(SEARCH("Essential",'K:\Projects\HGGT0003 - HGGT IDP Update 2021-22\[20190414_HGGT_IDP_2019_Schedule.xlsx]Utilities'!#REF!)))</xm:f>
            <x14:dxf>
              <font>
                <color theme="0"/>
              </font>
              <fill>
                <patternFill>
                  <bgColor rgb="FFFFC000"/>
                </patternFill>
              </fill>
            </x14:dxf>
          </x14:cfRule>
          <x14:cfRule type="containsText" priority="27" operator="containsText" text="Desirable" id="{D5B4A51E-FAF9-4121-9D84-9448EB72F648}">
            <xm:f>NOT(ISERROR(SEARCH("Desirable",'K:\Projects\HGGT0003 - HGGT IDP Update 2021-22\[20190414_HGGT_IDP_2019_Schedule.xlsx]Utilities'!#REF!)))</xm:f>
            <x14:dxf>
              <font>
                <color theme="0"/>
              </font>
              <fill>
                <patternFill>
                  <bgColor rgb="FF92D050"/>
                </patternFill>
              </fill>
            </x14:dxf>
          </x14:cfRule>
          <x14:cfRule type="containsText" priority="28" operator="containsText" text="Critical" id="{A4FE3908-C03B-408A-B9DA-9F2687C7B019}">
            <xm:f>NOT(ISERROR(SEARCH("Critical",'K:\Projects\HGGT0003 - HGGT IDP Update 2021-22\[20190414_HGGT_IDP_2019_Schedule.xlsx]Utilities'!#REF!)))</xm:f>
            <x14:dxf>
              <fill>
                <patternFill>
                  <bgColor rgb="FFFF0000"/>
                </patternFill>
              </fill>
            </x14:dxf>
          </x14:cfRule>
          <xm:sqref>D1</xm:sqref>
        </x14:conditionalFormatting>
        <x14:conditionalFormatting xmlns:xm="http://schemas.microsoft.com/office/excel/2006/main">
          <x14:cfRule type="containsText" priority="29" operator="containsText" text="20+" id="{732B505C-0CED-453C-AD9A-8BFB84CA0794}">
            <xm:f>NOT(ISERROR(SEARCH("20+",'K:\Projects\HGGT0003 - HGGT IDP Update 2021-22\[20190414_HGGT_IDP_2019_Schedule.xlsx]Utilities'!#REF!)))</xm:f>
            <x14:dxf>
              <fill>
                <patternFill>
                  <bgColor theme="3" tint="0.59996337778862885"/>
                </patternFill>
              </fill>
            </x14:dxf>
          </x14:cfRule>
          <x14:cfRule type="containsText" priority="30" operator="containsText" text="unknown" id="{CB4C01E1-A7F0-41BF-BD31-35BA5BBD7610}">
            <xm:f>NOT(ISERROR(SEARCH("unknown",'K:\Projects\HGGT0003 - HGGT IDP Update 2021-22\[20190414_HGGT_IDP_2019_Schedule.xlsx]Utilities'!#REF!)))</xm:f>
            <x14:dxf>
              <fill>
                <patternFill>
                  <bgColor theme="3" tint="0.79998168889431442"/>
                </patternFill>
              </fill>
            </x14:dxf>
          </x14:cfRule>
          <x14:cfRule type="containsText" priority="31" operator="containsText" text="15-20 years" id="{9336F999-34FA-4F68-B624-3CB15397BCA7}">
            <xm:f>NOT(ISERROR(SEARCH("15-20 years",'K:\Projects\HGGT0003 - HGGT IDP Update 2021-22\[20190414_HGGT_IDP_2019_Schedule.xlsx]Utilities'!#REF!)))</xm:f>
            <x14:dxf>
              <fill>
                <patternFill>
                  <bgColor theme="3" tint="0.39994506668294322"/>
                </patternFill>
              </fill>
            </x14:dxf>
          </x14:cfRule>
          <x14:cfRule type="containsText" priority="32" operator="containsText" text="10-15 years" id="{7BC02E91-8609-4826-BFE6-95CEEAB6EA75}">
            <xm:f>NOT(ISERROR(SEARCH("10-15 years",'K:\Projects\HGGT0003 - HGGT IDP Update 2021-22\[20190414_HGGT_IDP_2019_Schedule.xlsx]Utilities'!#REF!)))</xm:f>
            <x14:dxf>
              <fill>
                <patternFill>
                  <bgColor theme="4" tint="-0.24994659260841701"/>
                </patternFill>
              </fill>
            </x14:dxf>
          </x14:cfRule>
          <x14:cfRule type="containsText" priority="33" operator="containsText" text="5-10 years" id="{BA36E921-AB7F-4AC5-BF63-480FF443E3AD}">
            <xm:f>NOT(ISERROR(SEARCH("5-10 years",'K:\Projects\HGGT0003 - HGGT IDP Update 2021-22\[20190414_HGGT_IDP_2019_Schedule.xlsx]Utilities'!#REF!)))</xm:f>
            <x14:dxf>
              <fill>
                <patternFill>
                  <bgColor theme="4" tint="0.39994506668294322"/>
                </patternFill>
              </fill>
            </x14:dxf>
          </x14:cfRule>
          <x14:cfRule type="containsText" priority="34" operator="containsText" text="0-20 years" id="{9B4343A6-75C7-4746-A52F-EDC11A02C917}">
            <xm:f>NOT(ISERROR(SEARCH("0-20 years",'K:\Projects\HGGT0003 - HGGT IDP Update 2021-22\[20190414_HGGT_IDP_2019_Schedule.xlsx]Utilities'!#REF!)))</xm:f>
            <x14:dxf>
              <fill>
                <patternFill>
                  <bgColor theme="4" tint="0.59996337778862885"/>
                </patternFill>
              </fill>
            </x14:dxf>
          </x14:cfRule>
          <x14:cfRule type="containsText" priority="35" operator="containsText" text="0-5 years" id="{0A19316D-E8AA-4BD6-B892-431C9A08C513}">
            <xm:f>NOT(ISERROR(SEARCH("0-5 years",'K:\Projects\HGGT0003 - HGGT IDP Update 2021-22\[20190414_HGGT_IDP_2019_Schedule.xlsx]Utilities'!#REF!)))</xm:f>
            <x14:dxf>
              <fill>
                <patternFill>
                  <bgColor theme="4" tint="0.79998168889431442"/>
                </patternFill>
              </fill>
            </x14:dxf>
          </x14:cfRule>
          <xm:sqref>G1 N1:AA1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pageSetUpPr autoPageBreaks="0"/>
  </sheetPr>
  <dimension ref="A1:BM86"/>
  <sheetViews>
    <sheetView showGridLines="0" view="pageBreakPreview" zoomScale="55" zoomScaleNormal="60" workbookViewId="0">
      <pane ySplit="4" topLeftCell="A5" activePane="bottomLeft" state="frozen"/>
      <selection activeCell="AL1" sqref="AL1"/>
      <selection pane="bottomLeft" activeCell="B1" sqref="B1:AF1"/>
    </sheetView>
  </sheetViews>
  <sheetFormatPr defaultColWidth="8.90625" defaultRowHeight="16.5" x14ac:dyDescent="0.35"/>
  <cols>
    <col min="1" max="1" width="3.90625" style="758" customWidth="1"/>
    <col min="2" max="2" width="10.90625" style="761" customWidth="1"/>
    <col min="3" max="3" width="45.90625" style="761" customWidth="1"/>
    <col min="4" max="4" width="20.90625" style="761" customWidth="1"/>
    <col min="5" max="5" width="12.90625" style="793" customWidth="1"/>
    <col min="6" max="14" width="7.90625" style="793" customWidth="1"/>
    <col min="15" max="15" width="20.90625" style="793" customWidth="1"/>
    <col min="16" max="16" width="30.90625" style="761" customWidth="1"/>
    <col min="17" max="18" width="20.90625" style="793" customWidth="1"/>
    <col min="19" max="19" width="30.90625" style="761" customWidth="1"/>
    <col min="20" max="20" width="20.90625" style="761" customWidth="1"/>
    <col min="21" max="21" width="20.90625" style="793" customWidth="1"/>
    <col min="22" max="22" width="30.90625" style="793" customWidth="1"/>
    <col min="23" max="24" width="20.90625" style="793" customWidth="1"/>
    <col min="25" max="25" width="30.90625" style="793" customWidth="1"/>
    <col min="26" max="26" width="20.90625" style="761" customWidth="1"/>
    <col min="27" max="28" width="20.90625" style="793" customWidth="1"/>
    <col min="29" max="29" width="30.90625" style="793" customWidth="1"/>
    <col min="30" max="30" width="20.90625" style="761" customWidth="1"/>
    <col min="31" max="31" width="20.90625" style="793" customWidth="1"/>
    <col min="32" max="32" width="30.90625" style="761" customWidth="1"/>
    <col min="33" max="34" width="3.90625" style="758" customWidth="1"/>
    <col min="35" max="35" width="10.90625" style="761" customWidth="1"/>
    <col min="36" max="36" width="45.90625" style="761" customWidth="1"/>
    <col min="37" max="37" width="20.90625" style="761" customWidth="1"/>
    <col min="38" max="38" width="20.90625" style="1071" customWidth="1"/>
    <col min="39" max="57" width="20.90625" style="761" customWidth="1"/>
    <col min="58" max="58" width="20.90625" style="1071" customWidth="1"/>
    <col min="59" max="60" width="20.90625" style="761" customWidth="1"/>
    <col min="61" max="61" width="3.90625" style="758" customWidth="1"/>
    <col min="62" max="62" width="25.90625" style="761" customWidth="1"/>
    <col min="63" max="64" width="50.90625" style="761" customWidth="1"/>
    <col min="65" max="16384" width="8.90625" style="761"/>
  </cols>
  <sheetData>
    <row r="1" spans="1:65" ht="39.9" customHeight="1" x14ac:dyDescent="0.35">
      <c r="A1" s="757"/>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59"/>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59"/>
      <c r="BJ1" s="760"/>
      <c r="BK1" s="760"/>
      <c r="BL1" s="760"/>
      <c r="BM1" s="760"/>
    </row>
    <row r="2" spans="1:65" s="758" customFormat="1" ht="15" customHeight="1" thickBot="1" x14ac:dyDescent="0.4">
      <c r="B2" s="1072" t="s">
        <v>449</v>
      </c>
      <c r="C2" s="1072" t="s">
        <v>450</v>
      </c>
      <c r="D2" s="1072" t="s">
        <v>451</v>
      </c>
      <c r="E2" s="1072" t="s">
        <v>452</v>
      </c>
      <c r="F2" s="1467" t="s">
        <v>453</v>
      </c>
      <c r="G2" s="1468"/>
      <c r="H2" s="1468"/>
      <c r="I2" s="1468"/>
      <c r="J2" s="1468"/>
      <c r="K2" s="1468"/>
      <c r="L2" s="1468"/>
      <c r="M2" s="1468"/>
      <c r="N2" s="1469"/>
      <c r="O2" s="1072" t="s">
        <v>454</v>
      </c>
      <c r="P2" s="1072" t="s">
        <v>455</v>
      </c>
      <c r="Q2" s="1072" t="s">
        <v>456</v>
      </c>
      <c r="R2" s="1072"/>
      <c r="S2" s="1072" t="s">
        <v>457</v>
      </c>
      <c r="T2" s="1072" t="s">
        <v>458</v>
      </c>
      <c r="U2" s="1072" t="s">
        <v>459</v>
      </c>
      <c r="V2" s="1072" t="s">
        <v>460</v>
      </c>
      <c r="W2" s="1072" t="s">
        <v>461</v>
      </c>
      <c r="X2" s="1072" t="s">
        <v>242</v>
      </c>
      <c r="Y2" s="1072" t="s">
        <v>462</v>
      </c>
      <c r="Z2" s="1072" t="s">
        <v>463</v>
      </c>
      <c r="AA2" s="1072" t="s">
        <v>464</v>
      </c>
      <c r="AB2" s="1072" t="s">
        <v>465</v>
      </c>
      <c r="AC2" s="1072" t="s">
        <v>466</v>
      </c>
      <c r="AD2" s="1072" t="s">
        <v>467</v>
      </c>
      <c r="AE2" s="1072" t="s">
        <v>468</v>
      </c>
      <c r="AF2" s="1072" t="s">
        <v>469</v>
      </c>
      <c r="AG2" s="1140"/>
      <c r="AH2" s="1141"/>
      <c r="AI2" s="1072" t="s">
        <v>449</v>
      </c>
      <c r="AJ2" s="1072" t="s">
        <v>450</v>
      </c>
      <c r="AK2" s="1072" t="s">
        <v>471</v>
      </c>
      <c r="AL2" s="1073" t="s">
        <v>472</v>
      </c>
      <c r="AM2" s="1072" t="s">
        <v>473</v>
      </c>
      <c r="AN2" s="1072" t="s">
        <v>474</v>
      </c>
      <c r="AO2" s="1072" t="s">
        <v>475</v>
      </c>
      <c r="AP2" s="1072" t="s">
        <v>476</v>
      </c>
      <c r="AQ2" s="1072" t="s">
        <v>477</v>
      </c>
      <c r="AR2" s="1072" t="s">
        <v>478</v>
      </c>
      <c r="AS2" s="1072" t="s">
        <v>479</v>
      </c>
      <c r="AT2" s="1072" t="s">
        <v>480</v>
      </c>
      <c r="AU2" s="1072" t="s">
        <v>481</v>
      </c>
      <c r="AV2" s="1072" t="s">
        <v>482</v>
      </c>
      <c r="AW2" s="1072" t="s">
        <v>483</v>
      </c>
      <c r="AX2" s="1072" t="s">
        <v>484</v>
      </c>
      <c r="AY2" s="1072" t="s">
        <v>485</v>
      </c>
      <c r="AZ2" s="1072" t="s">
        <v>486</v>
      </c>
      <c r="BA2" s="1072" t="s">
        <v>487</v>
      </c>
      <c r="BB2" s="1072" t="s">
        <v>488</v>
      </c>
      <c r="BC2" s="1072" t="s">
        <v>489</v>
      </c>
      <c r="BD2" s="1072" t="s">
        <v>490</v>
      </c>
      <c r="BE2" s="1072" t="s">
        <v>491</v>
      </c>
      <c r="BF2" s="1073" t="s">
        <v>492</v>
      </c>
      <c r="BG2" s="1072" t="s">
        <v>493</v>
      </c>
      <c r="BH2" s="1072" t="s">
        <v>494</v>
      </c>
    </row>
    <row r="3" spans="1:65" ht="99.9" customHeight="1" thickTop="1" x14ac:dyDescent="0.35">
      <c r="B3" s="1392" t="s">
        <v>2231</v>
      </c>
      <c r="C3" s="768"/>
      <c r="D3" s="1385" t="s">
        <v>495</v>
      </c>
      <c r="E3" s="1394" t="s">
        <v>496</v>
      </c>
      <c r="F3" s="1396" t="s">
        <v>219</v>
      </c>
      <c r="G3" s="1396"/>
      <c r="H3" s="1396"/>
      <c r="I3" s="1396"/>
      <c r="J3" s="1396"/>
      <c r="K3" s="1396"/>
      <c r="L3" s="1396"/>
      <c r="M3" s="1396"/>
      <c r="N3" s="1396"/>
      <c r="O3" s="1385" t="s">
        <v>214</v>
      </c>
      <c r="P3" s="1400" t="s">
        <v>497</v>
      </c>
      <c r="Q3" s="1385" t="s">
        <v>498</v>
      </c>
      <c r="R3" s="1321" t="s">
        <v>2233</v>
      </c>
      <c r="S3" s="1391" t="s">
        <v>499</v>
      </c>
      <c r="T3" s="1492" t="s">
        <v>501</v>
      </c>
      <c r="U3" s="1390" t="s">
        <v>2</v>
      </c>
      <c r="V3" s="1388" t="s">
        <v>500</v>
      </c>
      <c r="W3" s="1384" t="s">
        <v>856</v>
      </c>
      <c r="X3" s="1387" t="s">
        <v>503</v>
      </c>
      <c r="Y3" s="1385" t="s">
        <v>504</v>
      </c>
      <c r="Z3" s="1492" t="s">
        <v>505</v>
      </c>
      <c r="AA3" s="1494" t="s">
        <v>506</v>
      </c>
      <c r="AB3" s="1387" t="s">
        <v>507</v>
      </c>
      <c r="AC3" s="1385" t="s">
        <v>504</v>
      </c>
      <c r="AD3" s="1492" t="s">
        <v>505</v>
      </c>
      <c r="AE3" s="1494" t="s">
        <v>1394</v>
      </c>
      <c r="AF3" s="1497" t="s">
        <v>509</v>
      </c>
      <c r="AG3" s="769"/>
      <c r="AH3" s="770"/>
      <c r="AI3" s="1523" t="s">
        <v>2231</v>
      </c>
      <c r="AJ3" s="771"/>
      <c r="AK3" s="772" t="s">
        <v>2234</v>
      </c>
      <c r="AL3" s="773" t="s">
        <v>2235</v>
      </c>
      <c r="AM3" s="773" t="s">
        <v>2236</v>
      </c>
      <c r="AN3" s="773" t="s">
        <v>2237</v>
      </c>
      <c r="AO3" s="773" t="s">
        <v>2238</v>
      </c>
      <c r="AP3" s="773" t="s">
        <v>2239</v>
      </c>
      <c r="AQ3" s="774" t="s">
        <v>2240</v>
      </c>
      <c r="AR3" s="775" t="s">
        <v>2241</v>
      </c>
      <c r="AS3" s="773" t="s">
        <v>2242</v>
      </c>
      <c r="AT3" s="773" t="s">
        <v>2243</v>
      </c>
      <c r="AU3" s="773" t="s">
        <v>2244</v>
      </c>
      <c r="AV3" s="773" t="s">
        <v>2245</v>
      </c>
      <c r="AW3" s="773" t="s">
        <v>2246</v>
      </c>
      <c r="AX3" s="773" t="s">
        <v>2247</v>
      </c>
      <c r="AY3" s="773" t="s">
        <v>2248</v>
      </c>
      <c r="AZ3" s="773" t="s">
        <v>2249</v>
      </c>
      <c r="BA3" s="773" t="s">
        <v>2250</v>
      </c>
      <c r="BB3" s="773" t="s">
        <v>2251</v>
      </c>
      <c r="BC3" s="773" t="s">
        <v>2252</v>
      </c>
      <c r="BD3" s="773" t="s">
        <v>2253</v>
      </c>
      <c r="BE3" s="1142" t="s">
        <v>2254</v>
      </c>
      <c r="BF3" s="772" t="s">
        <v>2255</v>
      </c>
      <c r="BG3" s="1398" t="s">
        <v>41</v>
      </c>
      <c r="BH3" s="1382" t="s">
        <v>42</v>
      </c>
      <c r="BJ3" s="777"/>
      <c r="BK3" s="778"/>
      <c r="BL3" s="778"/>
    </row>
    <row r="4" spans="1:65" s="793" customFormat="1" ht="119.15" customHeight="1" x14ac:dyDescent="0.35">
      <c r="A4" s="880"/>
      <c r="B4" s="1393"/>
      <c r="C4" s="780" t="s">
        <v>1395</v>
      </c>
      <c r="D4" s="1286"/>
      <c r="E4" s="1395"/>
      <c r="F4" s="333" t="s">
        <v>512</v>
      </c>
      <c r="G4" s="333" t="s">
        <v>513</v>
      </c>
      <c r="H4" s="333" t="s">
        <v>514</v>
      </c>
      <c r="I4" s="333" t="s">
        <v>515</v>
      </c>
      <c r="J4" s="333" t="s">
        <v>516</v>
      </c>
      <c r="K4" s="333" t="s">
        <v>517</v>
      </c>
      <c r="L4" s="333" t="s">
        <v>518</v>
      </c>
      <c r="M4" s="333" t="s">
        <v>519</v>
      </c>
      <c r="N4" s="333" t="s">
        <v>520</v>
      </c>
      <c r="O4" s="1397"/>
      <c r="P4" s="1401"/>
      <c r="Q4" s="1286"/>
      <c r="R4" s="1322"/>
      <c r="S4" s="1241"/>
      <c r="T4" s="1493"/>
      <c r="U4" s="1320"/>
      <c r="V4" s="1288"/>
      <c r="W4" s="1290"/>
      <c r="X4" s="1284"/>
      <c r="Y4" s="1286"/>
      <c r="Z4" s="1493"/>
      <c r="AA4" s="1249"/>
      <c r="AB4" s="1284"/>
      <c r="AC4" s="1286"/>
      <c r="AD4" s="1493"/>
      <c r="AE4" s="1249"/>
      <c r="AF4" s="1498"/>
      <c r="AG4" s="781"/>
      <c r="AH4" s="782"/>
      <c r="AI4" s="1397"/>
      <c r="AJ4" s="783" t="s">
        <v>1395</v>
      </c>
      <c r="AK4" s="784">
        <v>8500</v>
      </c>
      <c r="AL4" s="785">
        <v>1500</v>
      </c>
      <c r="AM4" s="785">
        <v>2600</v>
      </c>
      <c r="AN4" s="786">
        <v>750</v>
      </c>
      <c r="AO4" s="786" t="s">
        <v>48</v>
      </c>
      <c r="AP4" s="785">
        <v>2100</v>
      </c>
      <c r="AQ4" s="787">
        <v>1050</v>
      </c>
      <c r="AR4" s="788">
        <v>550</v>
      </c>
      <c r="AS4" s="786">
        <v>70</v>
      </c>
      <c r="AT4" s="786">
        <v>30</v>
      </c>
      <c r="AU4" s="786">
        <v>35</v>
      </c>
      <c r="AV4" s="786">
        <v>35</v>
      </c>
      <c r="AW4" s="786">
        <v>20</v>
      </c>
      <c r="AX4" s="786">
        <v>16</v>
      </c>
      <c r="AY4" s="786">
        <v>15</v>
      </c>
      <c r="AZ4" s="786">
        <v>13</v>
      </c>
      <c r="BA4" s="786">
        <v>10</v>
      </c>
      <c r="BB4" s="786">
        <v>10</v>
      </c>
      <c r="BC4" s="786">
        <v>10</v>
      </c>
      <c r="BD4" s="786">
        <v>10</v>
      </c>
      <c r="BE4" s="1143">
        <v>10</v>
      </c>
      <c r="BF4" s="784">
        <v>2120</v>
      </c>
      <c r="BG4" s="1399"/>
      <c r="BH4" s="1383"/>
      <c r="BI4" s="1074"/>
      <c r="BJ4" s="791"/>
      <c r="BK4" s="792"/>
      <c r="BL4" s="792"/>
    </row>
    <row r="5" spans="1:65" ht="17.25" customHeight="1" x14ac:dyDescent="0.35">
      <c r="B5" s="795"/>
      <c r="C5" s="796" t="s">
        <v>521</v>
      </c>
      <c r="D5" s="302"/>
      <c r="E5" s="303"/>
      <c r="F5" s="303"/>
      <c r="G5" s="303"/>
      <c r="H5" s="303"/>
      <c r="I5" s="303"/>
      <c r="J5" s="303"/>
      <c r="K5" s="303"/>
      <c r="L5" s="303"/>
      <c r="M5" s="303"/>
      <c r="N5" s="307"/>
      <c r="O5" s="303"/>
      <c r="P5" s="302"/>
      <c r="Q5" s="305"/>
      <c r="R5" s="305"/>
      <c r="S5" s="306"/>
      <c r="T5" s="335"/>
      <c r="U5" s="305"/>
      <c r="V5" s="506"/>
      <c r="W5" s="584"/>
      <c r="X5" s="305"/>
      <c r="Y5" s="307"/>
      <c r="Z5" s="335"/>
      <c r="AA5" s="305"/>
      <c r="AB5" s="305"/>
      <c r="AC5" s="307"/>
      <c r="AD5" s="335"/>
      <c r="AE5" s="305"/>
      <c r="AF5" s="1157"/>
      <c r="AG5" s="769"/>
      <c r="AH5" s="770"/>
      <c r="AI5" s="1158"/>
      <c r="AJ5" s="801" t="s">
        <v>521</v>
      </c>
      <c r="AK5" s="802"/>
      <c r="AL5" s="803"/>
      <c r="AM5" s="804"/>
      <c r="AN5" s="803"/>
      <c r="AO5" s="803"/>
      <c r="AP5" s="803"/>
      <c r="AQ5" s="804"/>
      <c r="AR5" s="805"/>
      <c r="AS5" s="803"/>
      <c r="AT5" s="803"/>
      <c r="AU5" s="803"/>
      <c r="AV5" s="803"/>
      <c r="AW5" s="803"/>
      <c r="AX5" s="803"/>
      <c r="AY5" s="803"/>
      <c r="AZ5" s="803"/>
      <c r="BA5" s="803"/>
      <c r="BB5" s="803"/>
      <c r="BC5" s="803"/>
      <c r="BD5" s="803"/>
      <c r="BE5" s="1144"/>
      <c r="BF5" s="802"/>
      <c r="BG5" s="302"/>
      <c r="BH5" s="570"/>
      <c r="BJ5" s="823"/>
      <c r="BK5" s="806"/>
      <c r="BL5" s="807"/>
    </row>
    <row r="6" spans="1:65" ht="125.15" customHeight="1" x14ac:dyDescent="0.35">
      <c r="A6" s="1459">
        <v>1</v>
      </c>
      <c r="B6" s="1418" t="s">
        <v>1396</v>
      </c>
      <c r="C6" s="1420" t="s">
        <v>1397</v>
      </c>
      <c r="D6" s="1422"/>
      <c r="E6" s="1374" t="s">
        <v>524</v>
      </c>
      <c r="F6" s="808"/>
      <c r="G6" s="809"/>
      <c r="H6" s="809"/>
      <c r="I6" s="809"/>
      <c r="J6" s="810"/>
      <c r="K6" s="809"/>
      <c r="L6" s="809"/>
      <c r="M6" s="809"/>
      <c r="N6" s="811"/>
      <c r="O6" s="1422" t="s">
        <v>525</v>
      </c>
      <c r="P6" s="1422" t="s">
        <v>526</v>
      </c>
      <c r="Q6" s="324" t="s">
        <v>527</v>
      </c>
      <c r="R6" s="324"/>
      <c r="S6" s="1424" t="s">
        <v>528</v>
      </c>
      <c r="T6" s="1495"/>
      <c r="U6" s="324"/>
      <c r="V6" s="1476"/>
      <c r="W6" s="556"/>
      <c r="X6" s="569" t="s">
        <v>527</v>
      </c>
      <c r="Y6" s="1424" t="s">
        <v>528</v>
      </c>
      <c r="Z6" s="1495"/>
      <c r="AA6" s="324"/>
      <c r="AB6" s="569" t="s">
        <v>527</v>
      </c>
      <c r="AC6" s="1424" t="s">
        <v>528</v>
      </c>
      <c r="AD6" s="1495"/>
      <c r="AE6" s="324"/>
      <c r="AF6" s="1476"/>
      <c r="AG6" s="1309">
        <v>1</v>
      </c>
      <c r="AH6" s="1275">
        <v>1</v>
      </c>
      <c r="AI6" s="1524" t="s">
        <v>1396</v>
      </c>
      <c r="AJ6" s="1428" t="s">
        <v>1397</v>
      </c>
      <c r="AK6" s="695" t="s">
        <v>527</v>
      </c>
      <c r="AL6" s="569" t="s">
        <v>527</v>
      </c>
      <c r="AM6" s="569" t="s">
        <v>527</v>
      </c>
      <c r="AN6" s="569" t="s">
        <v>527</v>
      </c>
      <c r="AO6" s="569" t="s">
        <v>527</v>
      </c>
      <c r="AP6" s="569" t="s">
        <v>527</v>
      </c>
      <c r="AQ6" s="643" t="s">
        <v>527</v>
      </c>
      <c r="AR6" s="589" t="s">
        <v>527</v>
      </c>
      <c r="AS6" s="569" t="s">
        <v>527</v>
      </c>
      <c r="AT6" s="569" t="s">
        <v>527</v>
      </c>
      <c r="AU6" s="569" t="s">
        <v>527</v>
      </c>
      <c r="AV6" s="569" t="s">
        <v>527</v>
      </c>
      <c r="AW6" s="569" t="s">
        <v>527</v>
      </c>
      <c r="AX6" s="569" t="s">
        <v>527</v>
      </c>
      <c r="AY6" s="569" t="s">
        <v>527</v>
      </c>
      <c r="AZ6" s="569" t="s">
        <v>527</v>
      </c>
      <c r="BA6" s="569" t="s">
        <v>527</v>
      </c>
      <c r="BB6" s="569" t="s">
        <v>527</v>
      </c>
      <c r="BC6" s="569" t="s">
        <v>527</v>
      </c>
      <c r="BD6" s="569" t="s">
        <v>527</v>
      </c>
      <c r="BE6" s="708" t="s">
        <v>527</v>
      </c>
      <c r="BF6" s="600" t="s">
        <v>527</v>
      </c>
      <c r="BG6" s="569" t="s">
        <v>527</v>
      </c>
      <c r="BH6" s="815"/>
      <c r="BI6" s="1432">
        <v>1</v>
      </c>
      <c r="BJ6" s="823"/>
      <c r="BK6" s="1414"/>
      <c r="BL6" s="1316"/>
    </row>
    <row r="7" spans="1:65" ht="125.15" customHeight="1" x14ac:dyDescent="0.35">
      <c r="A7" s="1460"/>
      <c r="B7" s="1419"/>
      <c r="C7" s="1421"/>
      <c r="D7" s="1423"/>
      <c r="E7" s="1373"/>
      <c r="F7" s="1415"/>
      <c r="G7" s="1416"/>
      <c r="H7" s="1416"/>
      <c r="I7" s="1416"/>
      <c r="J7" s="1416"/>
      <c r="K7" s="1416"/>
      <c r="L7" s="1416"/>
      <c r="M7" s="1416"/>
      <c r="N7" s="1417"/>
      <c r="O7" s="1423"/>
      <c r="P7" s="1423"/>
      <c r="Q7" s="456"/>
      <c r="R7" s="456"/>
      <c r="S7" s="1425"/>
      <c r="T7" s="1496"/>
      <c r="U7" s="326"/>
      <c r="V7" s="1477"/>
      <c r="W7" s="557"/>
      <c r="X7" s="564"/>
      <c r="Y7" s="1425"/>
      <c r="Z7" s="1496"/>
      <c r="AA7" s="323"/>
      <c r="AB7" s="564"/>
      <c r="AC7" s="1425"/>
      <c r="AD7" s="1496"/>
      <c r="AE7" s="323"/>
      <c r="AF7" s="1477"/>
      <c r="AG7" s="1310"/>
      <c r="AH7" s="1276"/>
      <c r="AI7" s="1525"/>
      <c r="AJ7" s="1429"/>
      <c r="AK7" s="696"/>
      <c r="AL7" s="564"/>
      <c r="AM7" s="564"/>
      <c r="AN7" s="564"/>
      <c r="AO7" s="564"/>
      <c r="AP7" s="564"/>
      <c r="AQ7" s="697"/>
      <c r="AR7" s="585"/>
      <c r="AS7" s="663"/>
      <c r="AT7" s="663"/>
      <c r="AU7" s="663"/>
      <c r="AV7" s="663"/>
      <c r="AW7" s="663"/>
      <c r="AX7" s="663"/>
      <c r="AY7" s="663"/>
      <c r="AZ7" s="663"/>
      <c r="BA7" s="663"/>
      <c r="BB7" s="663"/>
      <c r="BC7" s="663"/>
      <c r="BD7" s="663"/>
      <c r="BE7" s="710"/>
      <c r="BF7" s="699"/>
      <c r="BG7" s="663"/>
      <c r="BH7" s="817"/>
      <c r="BI7" s="1433"/>
      <c r="BJ7" s="823"/>
      <c r="BK7" s="1414"/>
      <c r="BL7" s="1317"/>
    </row>
    <row r="8" spans="1:65" ht="17.25" customHeight="1" x14ac:dyDescent="0.35">
      <c r="A8" s="821"/>
      <c r="B8" s="795"/>
      <c r="C8" s="302" t="s">
        <v>1398</v>
      </c>
      <c r="D8" s="302"/>
      <c r="E8" s="303"/>
      <c r="F8" s="303"/>
      <c r="G8" s="303"/>
      <c r="H8" s="303"/>
      <c r="I8" s="303"/>
      <c r="J8" s="303"/>
      <c r="K8" s="303"/>
      <c r="L8" s="303"/>
      <c r="M8" s="303"/>
      <c r="N8" s="307"/>
      <c r="O8" s="303"/>
      <c r="P8" s="302"/>
      <c r="Q8" s="305"/>
      <c r="R8" s="305"/>
      <c r="S8" s="306"/>
      <c r="T8" s="335"/>
      <c r="U8" s="305"/>
      <c r="V8" s="506"/>
      <c r="W8" s="584"/>
      <c r="X8" s="305"/>
      <c r="Y8" s="307"/>
      <c r="Z8" s="335"/>
      <c r="AA8" s="305"/>
      <c r="AB8" s="305"/>
      <c r="AC8" s="307"/>
      <c r="AD8" s="335"/>
      <c r="AE8" s="305"/>
      <c r="AF8" s="1157"/>
      <c r="AG8" s="1078"/>
      <c r="AH8" s="1079"/>
      <c r="AI8" s="1158"/>
      <c r="AJ8" s="570" t="s">
        <v>1398</v>
      </c>
      <c r="AK8" s="802"/>
      <c r="AL8" s="803"/>
      <c r="AM8" s="804"/>
      <c r="AN8" s="803"/>
      <c r="AO8" s="803"/>
      <c r="AP8" s="803"/>
      <c r="AQ8" s="804"/>
      <c r="AR8" s="805"/>
      <c r="AS8" s="803"/>
      <c r="AT8" s="803"/>
      <c r="AU8" s="803"/>
      <c r="AV8" s="803"/>
      <c r="AW8" s="803"/>
      <c r="AX8" s="803"/>
      <c r="AY8" s="803"/>
      <c r="AZ8" s="803"/>
      <c r="BA8" s="803"/>
      <c r="BB8" s="803"/>
      <c r="BC8" s="803"/>
      <c r="BD8" s="803"/>
      <c r="BE8" s="1144"/>
      <c r="BF8" s="802"/>
      <c r="BG8" s="302"/>
      <c r="BH8" s="570"/>
      <c r="BI8" s="821"/>
      <c r="BJ8" s="823"/>
      <c r="BK8" s="807"/>
      <c r="BL8" s="807"/>
    </row>
    <row r="9" spans="1:65" ht="125.15" customHeight="1" x14ac:dyDescent="0.35">
      <c r="A9" s="1459">
        <v>2</v>
      </c>
      <c r="B9" s="1358" t="s">
        <v>1399</v>
      </c>
      <c r="C9" s="1281" t="s">
        <v>1400</v>
      </c>
      <c r="D9" s="1281" t="s">
        <v>1401</v>
      </c>
      <c r="E9" s="1470"/>
      <c r="F9" s="1081"/>
      <c r="G9" s="826"/>
      <c r="H9" s="826"/>
      <c r="I9" s="826"/>
      <c r="J9" s="827"/>
      <c r="K9" s="826"/>
      <c r="L9" s="826"/>
      <c r="M9" s="826"/>
      <c r="N9" s="828"/>
      <c r="O9" s="1281" t="s">
        <v>632</v>
      </c>
      <c r="P9" s="1281" t="s">
        <v>1402</v>
      </c>
      <c r="Q9" s="330" t="s">
        <v>1403</v>
      </c>
      <c r="R9" s="330"/>
      <c r="S9" s="1268" t="s">
        <v>1404</v>
      </c>
      <c r="T9" s="1520" t="s">
        <v>1405</v>
      </c>
      <c r="U9" s="329"/>
      <c r="V9" s="1279"/>
      <c r="W9" s="632"/>
      <c r="X9" s="563" t="s">
        <v>1403</v>
      </c>
      <c r="Y9" s="1268" t="s">
        <v>1406</v>
      </c>
      <c r="Z9" s="1520" t="s">
        <v>1405</v>
      </c>
      <c r="AA9" s="329"/>
      <c r="AB9" s="600" t="s">
        <v>1407</v>
      </c>
      <c r="AC9" s="1268"/>
      <c r="AD9" s="1520"/>
      <c r="AE9" s="329"/>
      <c r="AF9" s="1279"/>
      <c r="AG9" s="1309">
        <v>2</v>
      </c>
      <c r="AH9" s="1275">
        <v>2</v>
      </c>
      <c r="AI9" s="1526" t="s">
        <v>1399</v>
      </c>
      <c r="AJ9" s="1293" t="s">
        <v>1400</v>
      </c>
      <c r="AK9" s="1508" t="s">
        <v>1408</v>
      </c>
      <c r="AL9" s="1508"/>
      <c r="AM9" s="1478" t="s">
        <v>1409</v>
      </c>
      <c r="AN9" s="1479"/>
      <c r="AO9" s="329"/>
      <c r="AP9" s="563" t="s">
        <v>1410</v>
      </c>
      <c r="AQ9" s="698" t="s">
        <v>1411</v>
      </c>
      <c r="AR9" s="589" t="s">
        <v>1407</v>
      </c>
      <c r="AS9" s="569" t="s">
        <v>1407</v>
      </c>
      <c r="AT9" s="569" t="s">
        <v>1407</v>
      </c>
      <c r="AU9" s="569" t="s">
        <v>1407</v>
      </c>
      <c r="AV9" s="569" t="s">
        <v>1407</v>
      </c>
      <c r="AW9" s="569" t="s">
        <v>1407</v>
      </c>
      <c r="AX9" s="569" t="s">
        <v>1407</v>
      </c>
      <c r="AY9" s="569" t="s">
        <v>1407</v>
      </c>
      <c r="AZ9" s="569" t="s">
        <v>1407</v>
      </c>
      <c r="BA9" s="569" t="s">
        <v>1407</v>
      </c>
      <c r="BB9" s="569" t="s">
        <v>1407</v>
      </c>
      <c r="BC9" s="569" t="s">
        <v>1407</v>
      </c>
      <c r="BD9" s="569" t="s">
        <v>1407</v>
      </c>
      <c r="BE9" s="708" t="s">
        <v>1407</v>
      </c>
      <c r="BF9" s="600" t="s">
        <v>1407</v>
      </c>
      <c r="BG9" s="569" t="s">
        <v>1407</v>
      </c>
      <c r="BH9" s="815"/>
      <c r="BI9" s="1432">
        <v>2</v>
      </c>
      <c r="BJ9" s="823"/>
      <c r="BK9" s="1316"/>
      <c r="BL9" s="1316"/>
    </row>
    <row r="10" spans="1:65" ht="125.15" customHeight="1" x14ac:dyDescent="0.35">
      <c r="A10" s="1460"/>
      <c r="B10" s="1359"/>
      <c r="C10" s="1282"/>
      <c r="D10" s="1282"/>
      <c r="E10" s="1471"/>
      <c r="F10" s="1313" t="s">
        <v>1412</v>
      </c>
      <c r="G10" s="1314"/>
      <c r="H10" s="1314"/>
      <c r="I10" s="1314"/>
      <c r="J10" s="1314"/>
      <c r="K10" s="1314"/>
      <c r="L10" s="1314"/>
      <c r="M10" s="1314"/>
      <c r="N10" s="1315"/>
      <c r="O10" s="1282"/>
      <c r="P10" s="1282"/>
      <c r="Q10" s="456">
        <f>6929520+3720175+1110500+222100</f>
        <v>11982295</v>
      </c>
      <c r="R10" s="456">
        <v>13556089</v>
      </c>
      <c r="S10" s="1270"/>
      <c r="T10" s="1521"/>
      <c r="U10" s="334"/>
      <c r="V10" s="1308"/>
      <c r="W10" s="633">
        <f>Q10-U10</f>
        <v>11982295</v>
      </c>
      <c r="X10" s="564">
        <f>Q10</f>
        <v>11982295</v>
      </c>
      <c r="Y10" s="1270"/>
      <c r="Z10" s="1521"/>
      <c r="AA10" s="328"/>
      <c r="AB10" s="699"/>
      <c r="AC10" s="1270"/>
      <c r="AD10" s="1521"/>
      <c r="AE10" s="328"/>
      <c r="AF10" s="1308"/>
      <c r="AG10" s="1310"/>
      <c r="AH10" s="1276"/>
      <c r="AI10" s="1527"/>
      <c r="AJ10" s="1295"/>
      <c r="AK10" s="696">
        <f>6929520*AK4/(AK4+AL4)</f>
        <v>5890092</v>
      </c>
      <c r="AL10" s="564">
        <f>6929520*AL4/(AK4+AL4)</f>
        <v>1039428</v>
      </c>
      <c r="AM10" s="564">
        <f>3720175*AM4/(AM4+AN4)</f>
        <v>2887300</v>
      </c>
      <c r="AN10" s="564">
        <f>3720175*AN4/(AM4+AN4)</f>
        <v>832875</v>
      </c>
      <c r="AO10" s="477"/>
      <c r="AP10" s="564">
        <f>2221000</f>
        <v>2221000</v>
      </c>
      <c r="AQ10" s="697">
        <f>1110500</f>
        <v>1110500</v>
      </c>
      <c r="AR10" s="585"/>
      <c r="AS10" s="663"/>
      <c r="AT10" s="663"/>
      <c r="AU10" s="663"/>
      <c r="AV10" s="663"/>
      <c r="AW10" s="663"/>
      <c r="AX10" s="663"/>
      <c r="AY10" s="663"/>
      <c r="AZ10" s="663"/>
      <c r="BA10" s="663"/>
      <c r="BB10" s="663"/>
      <c r="BC10" s="663"/>
      <c r="BD10" s="663"/>
      <c r="BE10" s="710"/>
      <c r="BF10" s="699"/>
      <c r="BG10" s="663"/>
      <c r="BH10" s="817"/>
      <c r="BI10" s="1433"/>
      <c r="BJ10" s="823"/>
      <c r="BK10" s="1317"/>
      <c r="BL10" s="1317"/>
    </row>
    <row r="11" spans="1:65" ht="125.15" customHeight="1" x14ac:dyDescent="0.35">
      <c r="A11" s="1459">
        <v>3</v>
      </c>
      <c r="B11" s="1358" t="s">
        <v>1413</v>
      </c>
      <c r="C11" s="1281" t="s">
        <v>1414</v>
      </c>
      <c r="D11" s="1281" t="s">
        <v>1401</v>
      </c>
      <c r="E11" s="1470"/>
      <c r="F11" s="851"/>
      <c r="G11" s="826"/>
      <c r="H11" s="826"/>
      <c r="I11" s="826"/>
      <c r="J11" s="826"/>
      <c r="K11" s="826"/>
      <c r="L11" s="826"/>
      <c r="M11" s="826"/>
      <c r="N11" s="828"/>
      <c r="O11" s="1281" t="s">
        <v>632</v>
      </c>
      <c r="P11" s="1281" t="s">
        <v>1415</v>
      </c>
      <c r="Q11" s="330" t="s">
        <v>1416</v>
      </c>
      <c r="R11" s="330"/>
      <c r="S11" s="1268" t="s">
        <v>1417</v>
      </c>
      <c r="T11" s="1520" t="s">
        <v>1418</v>
      </c>
      <c r="U11" s="329"/>
      <c r="V11" s="1279"/>
      <c r="W11" s="1159"/>
      <c r="X11" s="563" t="s">
        <v>1416</v>
      </c>
      <c r="Y11" s="1268" t="s">
        <v>2289</v>
      </c>
      <c r="Z11" s="1520" t="s">
        <v>1418</v>
      </c>
      <c r="AA11" s="450"/>
      <c r="AB11" s="600" t="s">
        <v>1407</v>
      </c>
      <c r="AC11" s="1268"/>
      <c r="AD11" s="1520"/>
      <c r="AE11" s="329"/>
      <c r="AF11" s="1480"/>
      <c r="AG11" s="1309">
        <v>3</v>
      </c>
      <c r="AH11" s="1275">
        <v>3</v>
      </c>
      <c r="AI11" s="1526" t="s">
        <v>1413</v>
      </c>
      <c r="AJ11" s="1293" t="s">
        <v>1414</v>
      </c>
      <c r="AK11" s="1508" t="s">
        <v>1419</v>
      </c>
      <c r="AL11" s="1508"/>
      <c r="AM11" s="1478" t="s">
        <v>1420</v>
      </c>
      <c r="AN11" s="1479"/>
      <c r="AO11" s="1087"/>
      <c r="AP11" s="569" t="s">
        <v>1407</v>
      </c>
      <c r="AQ11" s="643" t="s">
        <v>1407</v>
      </c>
      <c r="AR11" s="589" t="s">
        <v>1407</v>
      </c>
      <c r="AS11" s="727" t="s">
        <v>1407</v>
      </c>
      <c r="AT11" s="727" t="s">
        <v>1407</v>
      </c>
      <c r="AU11" s="727" t="s">
        <v>1407</v>
      </c>
      <c r="AV11" s="727" t="s">
        <v>1407</v>
      </c>
      <c r="AW11" s="727" t="s">
        <v>1407</v>
      </c>
      <c r="AX11" s="727" t="s">
        <v>1407</v>
      </c>
      <c r="AY11" s="727" t="s">
        <v>1407</v>
      </c>
      <c r="AZ11" s="727" t="s">
        <v>1407</v>
      </c>
      <c r="BA11" s="727" t="s">
        <v>1407</v>
      </c>
      <c r="BB11" s="727" t="s">
        <v>1407</v>
      </c>
      <c r="BC11" s="727" t="s">
        <v>1407</v>
      </c>
      <c r="BD11" s="727" t="s">
        <v>1407</v>
      </c>
      <c r="BE11" s="733" t="s">
        <v>1407</v>
      </c>
      <c r="BF11" s="600" t="s">
        <v>1407</v>
      </c>
      <c r="BG11" s="569" t="s">
        <v>1407</v>
      </c>
      <c r="BH11" s="815"/>
      <c r="BI11" s="1432">
        <v>3</v>
      </c>
      <c r="BJ11" s="823"/>
      <c r="BK11" s="1316"/>
      <c r="BL11" s="1316"/>
    </row>
    <row r="12" spans="1:65" ht="125.15" customHeight="1" x14ac:dyDescent="0.35">
      <c r="A12" s="1460"/>
      <c r="B12" s="1359"/>
      <c r="C12" s="1282"/>
      <c r="D12" s="1282"/>
      <c r="E12" s="1471"/>
      <c r="F12" s="1313" t="s">
        <v>1412</v>
      </c>
      <c r="G12" s="1314"/>
      <c r="H12" s="1314"/>
      <c r="I12" s="1314"/>
      <c r="J12" s="1314"/>
      <c r="K12" s="1314"/>
      <c r="L12" s="1314"/>
      <c r="M12" s="1314"/>
      <c r="N12" s="1315"/>
      <c r="O12" s="1282"/>
      <c r="P12" s="1282"/>
      <c r="Q12" s="456">
        <f>1504797+262897+744100</f>
        <v>2511794</v>
      </c>
      <c r="R12" s="456">
        <v>2841874</v>
      </c>
      <c r="S12" s="1270"/>
      <c r="T12" s="1521"/>
      <c r="U12" s="328"/>
      <c r="V12" s="1308"/>
      <c r="W12" s="633">
        <f>AA12</f>
        <v>1277239</v>
      </c>
      <c r="X12" s="564">
        <f>SUM(AK12:BH12)</f>
        <v>1234555</v>
      </c>
      <c r="Y12" s="1270"/>
      <c r="Z12" s="1521"/>
      <c r="AA12" s="486">
        <f>Q12-X12</f>
        <v>1277239</v>
      </c>
      <c r="AB12" s="699"/>
      <c r="AC12" s="1270"/>
      <c r="AD12" s="1521"/>
      <c r="AE12" s="328"/>
      <c r="AF12" s="1481"/>
      <c r="AG12" s="1310"/>
      <c r="AH12" s="1276"/>
      <c r="AI12" s="1527"/>
      <c r="AJ12" s="1295"/>
      <c r="AK12" s="696">
        <v>416887</v>
      </c>
      <c r="AL12" s="564">
        <v>73568</v>
      </c>
      <c r="AM12" s="564">
        <f>744100*AM4/(AM4+AN4)</f>
        <v>577510.44776119408</v>
      </c>
      <c r="AN12" s="564">
        <f>744100*AN4/(AM4+AN4)</f>
        <v>166589.55223880598</v>
      </c>
      <c r="AO12" s="1089"/>
      <c r="AP12" s="663"/>
      <c r="AQ12" s="711"/>
      <c r="AR12" s="585"/>
      <c r="AS12" s="663"/>
      <c r="AT12" s="663"/>
      <c r="AU12" s="663"/>
      <c r="AV12" s="663"/>
      <c r="AW12" s="663"/>
      <c r="AX12" s="663"/>
      <c r="AY12" s="663"/>
      <c r="AZ12" s="663"/>
      <c r="BA12" s="663"/>
      <c r="BB12" s="663"/>
      <c r="BC12" s="663"/>
      <c r="BD12" s="663"/>
      <c r="BE12" s="710"/>
      <c r="BF12" s="699"/>
      <c r="BG12" s="663"/>
      <c r="BH12" s="817"/>
      <c r="BI12" s="1433"/>
      <c r="BJ12" s="823"/>
      <c r="BK12" s="1317"/>
      <c r="BL12" s="1317"/>
    </row>
    <row r="13" spans="1:65" ht="17.25" customHeight="1" x14ac:dyDescent="0.35">
      <c r="A13" s="821"/>
      <c r="B13" s="795"/>
      <c r="C13" s="302" t="s">
        <v>1421</v>
      </c>
      <c r="D13" s="302"/>
      <c r="E13" s="303"/>
      <c r="F13" s="303"/>
      <c r="G13" s="303"/>
      <c r="H13" s="303"/>
      <c r="I13" s="303"/>
      <c r="J13" s="303"/>
      <c r="K13" s="303"/>
      <c r="L13" s="303"/>
      <c r="M13" s="303"/>
      <c r="N13" s="307"/>
      <c r="O13" s="303"/>
      <c r="P13" s="302"/>
      <c r="Q13" s="305"/>
      <c r="R13" s="305"/>
      <c r="S13" s="306"/>
      <c r="T13" s="335"/>
      <c r="U13" s="305"/>
      <c r="V13" s="506"/>
      <c r="W13" s="584"/>
      <c r="X13" s="305"/>
      <c r="Y13" s="307"/>
      <c r="Z13" s="335"/>
      <c r="AA13" s="305"/>
      <c r="AB13" s="305"/>
      <c r="AC13" s="307"/>
      <c r="AD13" s="335"/>
      <c r="AE13" s="305"/>
      <c r="AF13" s="1157"/>
      <c r="AG13" s="1078"/>
      <c r="AH13" s="1079"/>
      <c r="AI13" s="1158"/>
      <c r="AJ13" s="570" t="s">
        <v>1421</v>
      </c>
      <c r="AK13" s="802"/>
      <c r="AL13" s="803"/>
      <c r="AM13" s="804"/>
      <c r="AN13" s="803"/>
      <c r="AO13" s="803"/>
      <c r="AP13" s="803"/>
      <c r="AQ13" s="804"/>
      <c r="AR13" s="805"/>
      <c r="AS13" s="803"/>
      <c r="AT13" s="803"/>
      <c r="AU13" s="803"/>
      <c r="AV13" s="803"/>
      <c r="AW13" s="803"/>
      <c r="AX13" s="803"/>
      <c r="AY13" s="803"/>
      <c r="AZ13" s="803"/>
      <c r="BA13" s="803"/>
      <c r="BB13" s="803"/>
      <c r="BC13" s="803"/>
      <c r="BD13" s="803"/>
      <c r="BE13" s="1144"/>
      <c r="BF13" s="802"/>
      <c r="BG13" s="302"/>
      <c r="BH13" s="570"/>
      <c r="BI13" s="821"/>
      <c r="BJ13" s="823"/>
      <c r="BK13" s="807"/>
      <c r="BL13" s="807"/>
    </row>
    <row r="14" spans="1:65" ht="125.15" customHeight="1" x14ac:dyDescent="0.35">
      <c r="A14" s="1459">
        <v>4</v>
      </c>
      <c r="B14" s="1358" t="s">
        <v>1422</v>
      </c>
      <c r="C14" s="1281" t="s">
        <v>2290</v>
      </c>
      <c r="D14" s="1281" t="s">
        <v>1423</v>
      </c>
      <c r="E14" s="1470"/>
      <c r="F14" s="859" t="s">
        <v>1424</v>
      </c>
      <c r="G14" s="826"/>
      <c r="H14" s="826"/>
      <c r="I14" s="826"/>
      <c r="J14" s="827"/>
      <c r="K14" s="826"/>
      <c r="L14" s="826"/>
      <c r="M14" s="826"/>
      <c r="N14" s="828"/>
      <c r="O14" s="1281" t="s">
        <v>1425</v>
      </c>
      <c r="P14" s="1281" t="s">
        <v>1426</v>
      </c>
      <c r="Q14" s="330" t="s">
        <v>1427</v>
      </c>
      <c r="R14" s="330"/>
      <c r="S14" s="1268" t="s">
        <v>2291</v>
      </c>
      <c r="T14" s="1520" t="s">
        <v>1428</v>
      </c>
      <c r="U14" s="455"/>
      <c r="V14" s="1279" t="s">
        <v>1429</v>
      </c>
      <c r="W14" s="632"/>
      <c r="X14" s="563"/>
      <c r="Y14" s="1268" t="s">
        <v>2292</v>
      </c>
      <c r="Z14" s="1520" t="s">
        <v>1428</v>
      </c>
      <c r="AA14" s="327"/>
      <c r="AB14" s="1160"/>
      <c r="AC14" s="1268"/>
      <c r="AD14" s="1520"/>
      <c r="AE14" s="327"/>
      <c r="AF14" s="1279" t="s">
        <v>1430</v>
      </c>
      <c r="AG14" s="1309">
        <v>4</v>
      </c>
      <c r="AH14" s="1275">
        <v>4</v>
      </c>
      <c r="AI14" s="1526" t="s">
        <v>1422</v>
      </c>
      <c r="AJ14" s="1293" t="s">
        <v>2290</v>
      </c>
      <c r="AK14" s="695"/>
      <c r="AL14" s="643"/>
      <c r="AM14" s="643"/>
      <c r="AN14" s="643"/>
      <c r="AO14" s="489"/>
      <c r="AP14" s="643"/>
      <c r="AQ14" s="643"/>
      <c r="AR14" s="686"/>
      <c r="AS14" s="643"/>
      <c r="AT14" s="643"/>
      <c r="AU14" s="643"/>
      <c r="AV14" s="643"/>
      <c r="AW14" s="643"/>
      <c r="AX14" s="643" t="s">
        <v>1036</v>
      </c>
      <c r="AY14" s="643" t="s">
        <v>1036</v>
      </c>
      <c r="AZ14" s="643" t="s">
        <v>1036</v>
      </c>
      <c r="BA14" s="643" t="s">
        <v>1036</v>
      </c>
      <c r="BB14" s="643" t="s">
        <v>1036</v>
      </c>
      <c r="BC14" s="643" t="s">
        <v>1036</v>
      </c>
      <c r="BD14" s="643" t="s">
        <v>1036</v>
      </c>
      <c r="BE14" s="708" t="s">
        <v>1036</v>
      </c>
      <c r="BF14" s="695"/>
      <c r="BG14" s="643" t="s">
        <v>1036</v>
      </c>
      <c r="BH14" s="815"/>
      <c r="BI14" s="1432">
        <v>4</v>
      </c>
      <c r="BJ14" s="823"/>
      <c r="BK14" s="1316"/>
      <c r="BL14" s="1316"/>
    </row>
    <row r="15" spans="1:65" ht="125.15" customHeight="1" x14ac:dyDescent="0.35">
      <c r="A15" s="1460"/>
      <c r="B15" s="1359"/>
      <c r="C15" s="1282"/>
      <c r="D15" s="1282"/>
      <c r="E15" s="1471"/>
      <c r="F15" s="1313" t="s">
        <v>1431</v>
      </c>
      <c r="G15" s="1314"/>
      <c r="H15" s="1314"/>
      <c r="I15" s="1314"/>
      <c r="J15" s="1314"/>
      <c r="K15" s="1314"/>
      <c r="L15" s="1314"/>
      <c r="M15" s="1314"/>
      <c r="N15" s="1315"/>
      <c r="O15" s="1282"/>
      <c r="P15" s="1282"/>
      <c r="Q15" s="456">
        <f>2015000+6500000</f>
        <v>8515000</v>
      </c>
      <c r="R15" s="456">
        <v>9246948</v>
      </c>
      <c r="S15" s="1270"/>
      <c r="T15" s="1521"/>
      <c r="U15" s="456">
        <v>2015000</v>
      </c>
      <c r="V15" s="1308"/>
      <c r="W15" s="633">
        <f>Q15-U15</f>
        <v>6500000</v>
      </c>
      <c r="X15" s="564">
        <f>SUM(AK15:BE15)</f>
        <v>4010851.8000000003</v>
      </c>
      <c r="Y15" s="1270"/>
      <c r="Z15" s="1521"/>
      <c r="AA15" s="486">
        <f>W15-(SUM(AK15:BE15))</f>
        <v>2489148.1999999997</v>
      </c>
      <c r="AB15" s="704">
        <f>BF15</f>
        <v>519230.39999999997</v>
      </c>
      <c r="AC15" s="1270"/>
      <c r="AD15" s="1521"/>
      <c r="AE15" s="486">
        <f>AA15-(SUM(BF15:BH15))</f>
        <v>1969917.7999999998</v>
      </c>
      <c r="AF15" s="1308"/>
      <c r="AG15" s="1310"/>
      <c r="AH15" s="1276"/>
      <c r="AI15" s="1527"/>
      <c r="AJ15" s="1295"/>
      <c r="AK15" s="704">
        <v>1900000</v>
      </c>
      <c r="AL15" s="697">
        <v>337631</v>
      </c>
      <c r="AM15" s="697">
        <f>244.92*AM4</f>
        <v>636792</v>
      </c>
      <c r="AN15" s="697">
        <f>244.92*AN4</f>
        <v>183690</v>
      </c>
      <c r="AO15" s="488"/>
      <c r="AP15" s="697">
        <f t="shared" ref="AP15:AW15" si="0">244.92*AP4</f>
        <v>514332</v>
      </c>
      <c r="AQ15" s="697">
        <f t="shared" si="0"/>
        <v>257166</v>
      </c>
      <c r="AR15" s="1161">
        <f t="shared" si="0"/>
        <v>134706</v>
      </c>
      <c r="AS15" s="697">
        <f t="shared" si="0"/>
        <v>17144.399999999998</v>
      </c>
      <c r="AT15" s="697">
        <f t="shared" si="0"/>
        <v>7347.5999999999995</v>
      </c>
      <c r="AU15" s="697">
        <f t="shared" si="0"/>
        <v>8572.1999999999989</v>
      </c>
      <c r="AV15" s="697">
        <f t="shared" si="0"/>
        <v>8572.1999999999989</v>
      </c>
      <c r="AW15" s="697">
        <f t="shared" si="0"/>
        <v>4898.3999999999996</v>
      </c>
      <c r="AX15" s="663"/>
      <c r="AY15" s="663"/>
      <c r="AZ15" s="663"/>
      <c r="BA15" s="663"/>
      <c r="BB15" s="663"/>
      <c r="BC15" s="663"/>
      <c r="BD15" s="663"/>
      <c r="BE15" s="710"/>
      <c r="BF15" s="704">
        <f>244.92*BF4</f>
        <v>519230.39999999997</v>
      </c>
      <c r="BG15" s="711"/>
      <c r="BH15" s="817"/>
      <c r="BI15" s="1433"/>
      <c r="BJ15" s="823"/>
      <c r="BK15" s="1317"/>
      <c r="BL15" s="1317"/>
    </row>
    <row r="16" spans="1:65" ht="125.15" customHeight="1" x14ac:dyDescent="0.35">
      <c r="A16" s="1459">
        <v>5</v>
      </c>
      <c r="B16" s="1358" t="s">
        <v>1432</v>
      </c>
      <c r="C16" s="1281" t="s">
        <v>1433</v>
      </c>
      <c r="D16" s="1281" t="s">
        <v>1434</v>
      </c>
      <c r="E16" s="1470"/>
      <c r="F16" s="851"/>
      <c r="G16" s="826"/>
      <c r="H16" s="826"/>
      <c r="I16" s="826"/>
      <c r="J16" s="826"/>
      <c r="K16" s="826"/>
      <c r="L16" s="826"/>
      <c r="M16" s="826"/>
      <c r="N16" s="828"/>
      <c r="O16" s="1281" t="s">
        <v>1435</v>
      </c>
      <c r="P16" s="1281"/>
      <c r="Q16" s="324"/>
      <c r="R16" s="324"/>
      <c r="S16" s="1268" t="s">
        <v>1436</v>
      </c>
      <c r="T16" s="1520"/>
      <c r="U16" s="324"/>
      <c r="V16" s="1279" t="s">
        <v>2224</v>
      </c>
      <c r="W16" s="632"/>
      <c r="X16" s="331"/>
      <c r="Y16" s="1268" t="s">
        <v>1437</v>
      </c>
      <c r="Z16" s="1520"/>
      <c r="AA16" s="327"/>
      <c r="AB16" s="331"/>
      <c r="AC16" s="1268"/>
      <c r="AD16" s="1520"/>
      <c r="AE16" s="327"/>
      <c r="AF16" s="1480"/>
      <c r="AG16" s="1309">
        <v>5</v>
      </c>
      <c r="AH16" s="1275">
        <v>5</v>
      </c>
      <c r="AI16" s="1526" t="s">
        <v>1432</v>
      </c>
      <c r="AJ16" s="1293" t="s">
        <v>1433</v>
      </c>
      <c r="AK16" s="1091"/>
      <c r="AL16" s="1091"/>
      <c r="AM16" s="1091"/>
      <c r="AN16" s="1091"/>
      <c r="AO16" s="1087"/>
      <c r="AP16" s="1091"/>
      <c r="AQ16" s="1162"/>
      <c r="AR16" s="618"/>
      <c r="AS16" s="886"/>
      <c r="AT16" s="886"/>
      <c r="AU16" s="886"/>
      <c r="AV16" s="886"/>
      <c r="AW16" s="886"/>
      <c r="AX16" s="886"/>
      <c r="AY16" s="886"/>
      <c r="AZ16" s="886"/>
      <c r="BA16" s="886"/>
      <c r="BB16" s="886"/>
      <c r="BC16" s="886"/>
      <c r="BD16" s="886"/>
      <c r="BE16" s="1088"/>
      <c r="BF16" s="734"/>
      <c r="BG16" s="752"/>
      <c r="BH16" s="1088"/>
      <c r="BI16" s="1432">
        <v>5</v>
      </c>
      <c r="BJ16" s="823"/>
      <c r="BK16" s="1316"/>
      <c r="BL16" s="1316"/>
    </row>
    <row r="17" spans="1:64" ht="125.15" customHeight="1" x14ac:dyDescent="0.35">
      <c r="A17" s="1460"/>
      <c r="B17" s="1359"/>
      <c r="C17" s="1282"/>
      <c r="D17" s="1282"/>
      <c r="E17" s="1471"/>
      <c r="F17" s="1313" t="s">
        <v>1438</v>
      </c>
      <c r="G17" s="1314"/>
      <c r="H17" s="1314"/>
      <c r="I17" s="1314"/>
      <c r="J17" s="1314"/>
      <c r="K17" s="1314"/>
      <c r="L17" s="1314"/>
      <c r="M17" s="1314"/>
      <c r="N17" s="1315"/>
      <c r="O17" s="1282"/>
      <c r="P17" s="1282"/>
      <c r="Q17" s="456">
        <f>30000000</f>
        <v>30000000</v>
      </c>
      <c r="R17" s="456">
        <v>33539823</v>
      </c>
      <c r="S17" s="1270"/>
      <c r="T17" s="1521"/>
      <c r="U17" s="456">
        <v>20000000</v>
      </c>
      <c r="V17" s="1308"/>
      <c r="W17" s="633">
        <f>Q17-U17</f>
        <v>10000000</v>
      </c>
      <c r="X17" s="477"/>
      <c r="Y17" s="1270"/>
      <c r="Z17" s="1521"/>
      <c r="AA17" s="486">
        <f>W17-X17</f>
        <v>10000000</v>
      </c>
      <c r="AB17" s="477"/>
      <c r="AC17" s="1270"/>
      <c r="AD17" s="1521"/>
      <c r="AE17" s="486">
        <f>AA17-(SUM(BF17:BH17))</f>
        <v>10000000</v>
      </c>
      <c r="AF17" s="1481"/>
      <c r="AG17" s="1310"/>
      <c r="AH17" s="1276"/>
      <c r="AI17" s="1527"/>
      <c r="AJ17" s="1295"/>
      <c r="AK17" s="629"/>
      <c r="AL17" s="629"/>
      <c r="AM17" s="629"/>
      <c r="AN17" s="629"/>
      <c r="AO17" s="1089"/>
      <c r="AP17" s="629"/>
      <c r="AQ17" s="641"/>
      <c r="AR17" s="1163"/>
      <c r="AS17" s="753"/>
      <c r="AT17" s="753"/>
      <c r="AU17" s="753"/>
      <c r="AV17" s="753"/>
      <c r="AW17" s="753"/>
      <c r="AX17" s="753"/>
      <c r="AY17" s="753"/>
      <c r="AZ17" s="753"/>
      <c r="BA17" s="753"/>
      <c r="BB17" s="753"/>
      <c r="BC17" s="753"/>
      <c r="BD17" s="753"/>
      <c r="BE17" s="817"/>
      <c r="BF17" s="1164"/>
      <c r="BG17" s="583"/>
      <c r="BH17" s="817"/>
      <c r="BI17" s="1433"/>
      <c r="BJ17" s="823"/>
      <c r="BK17" s="1317"/>
      <c r="BL17" s="1317"/>
    </row>
    <row r="18" spans="1:64" ht="125.15" customHeight="1" x14ac:dyDescent="0.35">
      <c r="A18" s="1459">
        <v>6</v>
      </c>
      <c r="B18" s="1358" t="s">
        <v>1439</v>
      </c>
      <c r="C18" s="1281" t="s">
        <v>1440</v>
      </c>
      <c r="D18" s="1281" t="s">
        <v>1434</v>
      </c>
      <c r="E18" s="1470"/>
      <c r="F18" s="851"/>
      <c r="G18" s="826"/>
      <c r="H18" s="826"/>
      <c r="I18" s="826"/>
      <c r="J18" s="826"/>
      <c r="K18" s="826"/>
      <c r="L18" s="852"/>
      <c r="M18" s="826"/>
      <c r="N18" s="828"/>
      <c r="O18" s="1281" t="s">
        <v>1435</v>
      </c>
      <c r="P18" s="1281"/>
      <c r="Q18" s="324"/>
      <c r="R18" s="324"/>
      <c r="S18" s="1268"/>
      <c r="T18" s="1520" t="s">
        <v>1428</v>
      </c>
      <c r="U18" s="329"/>
      <c r="V18" s="1279"/>
      <c r="W18" s="632"/>
      <c r="X18" s="569"/>
      <c r="Y18" s="1268" t="s">
        <v>1441</v>
      </c>
      <c r="Z18" s="1520" t="s">
        <v>1428</v>
      </c>
      <c r="AA18" s="327"/>
      <c r="AB18" s="569"/>
      <c r="AC18" s="1268"/>
      <c r="AD18" s="1520"/>
      <c r="AE18" s="450"/>
      <c r="AF18" s="1279"/>
      <c r="AG18" s="1309">
        <v>6</v>
      </c>
      <c r="AH18" s="1275">
        <v>6</v>
      </c>
      <c r="AI18" s="1526" t="s">
        <v>1439</v>
      </c>
      <c r="AJ18" s="1293" t="s">
        <v>1440</v>
      </c>
      <c r="AK18" s="1093"/>
      <c r="AL18" s="493"/>
      <c r="AM18" s="568"/>
      <c r="AN18" s="568"/>
      <c r="AO18" s="569" t="s">
        <v>1442</v>
      </c>
      <c r="AP18" s="568"/>
      <c r="AQ18" s="715"/>
      <c r="AR18" s="588"/>
      <c r="AS18" s="493"/>
      <c r="AT18" s="493"/>
      <c r="AU18" s="493"/>
      <c r="AV18" s="493"/>
      <c r="AW18" s="493"/>
      <c r="AX18" s="493"/>
      <c r="AY18" s="493"/>
      <c r="AZ18" s="493"/>
      <c r="BA18" s="493"/>
      <c r="BB18" s="493"/>
      <c r="BC18" s="493"/>
      <c r="BD18" s="493"/>
      <c r="BE18" s="1145"/>
      <c r="BF18" s="1106"/>
      <c r="BG18" s="569" t="s">
        <v>1442</v>
      </c>
      <c r="BH18" s="708" t="s">
        <v>1442</v>
      </c>
      <c r="BI18" s="1432">
        <v>6</v>
      </c>
      <c r="BJ18" s="823"/>
      <c r="BK18" s="1316"/>
      <c r="BL18" s="1316"/>
    </row>
    <row r="19" spans="1:64" ht="125.15" customHeight="1" x14ac:dyDescent="0.35">
      <c r="A19" s="1460"/>
      <c r="B19" s="1359"/>
      <c r="C19" s="1282"/>
      <c r="D19" s="1282"/>
      <c r="E19" s="1471"/>
      <c r="F19" s="1313" t="s">
        <v>1438</v>
      </c>
      <c r="G19" s="1314"/>
      <c r="H19" s="1314"/>
      <c r="I19" s="1314"/>
      <c r="J19" s="1314"/>
      <c r="K19" s="1314"/>
      <c r="L19" s="1314"/>
      <c r="M19" s="1314"/>
      <c r="N19" s="1315"/>
      <c r="O19" s="1282"/>
      <c r="P19" s="1282"/>
      <c r="Q19" s="456">
        <v>4500000</v>
      </c>
      <c r="R19" s="456">
        <v>4672603</v>
      </c>
      <c r="S19" s="1270"/>
      <c r="T19" s="1521"/>
      <c r="U19" s="328"/>
      <c r="V19" s="1308"/>
      <c r="W19" s="633">
        <f>Q19</f>
        <v>4500000</v>
      </c>
      <c r="X19" s="564">
        <v>1000000</v>
      </c>
      <c r="Y19" s="1270"/>
      <c r="Z19" s="1521"/>
      <c r="AA19" s="486">
        <f>W19-(SUM(AK19:BE19))</f>
        <v>3731188.6586695747</v>
      </c>
      <c r="AB19" s="564">
        <f>BF19</f>
        <v>231188.65866957471</v>
      </c>
      <c r="AC19" s="1270"/>
      <c r="AD19" s="1521"/>
      <c r="AE19" s="486">
        <f>AA19-(SUM(BF19:BH19))</f>
        <v>3500000</v>
      </c>
      <c r="AF19" s="1308"/>
      <c r="AG19" s="1310"/>
      <c r="AH19" s="1276"/>
      <c r="AI19" s="1527"/>
      <c r="AJ19" s="1295"/>
      <c r="AK19" s="629"/>
      <c r="AL19" s="629"/>
      <c r="AM19" s="696">
        <f>$X19*AM4/($AM4+$AN4+$AP4+$AQ4+$AR4+$BF4)</f>
        <v>283533.26063249726</v>
      </c>
      <c r="AN19" s="696">
        <f>$X19*AN4/($AM4+$AN4+$AP4+$AQ4+$AR4+$BF4)</f>
        <v>81788.440567066515</v>
      </c>
      <c r="AO19" s="663"/>
      <c r="AP19" s="696">
        <f>$X19*AP4/($AM4+$AN4+$AP4+$AQ4+$AR4+$BF4)</f>
        <v>229007.63358778626</v>
      </c>
      <c r="AQ19" s="704">
        <f>$X19*AQ4/($AM4+$AN4+$AP4+$AQ4+$AR4+$BF4)</f>
        <v>114503.81679389313</v>
      </c>
      <c r="AR19" s="599">
        <f>$X19*AR4/($AM4+$AN4+$AP4+$AQ4+$AR4+$BF4)</f>
        <v>59978.189749182115</v>
      </c>
      <c r="AS19" s="629"/>
      <c r="AT19" s="629"/>
      <c r="AU19" s="629"/>
      <c r="AV19" s="629"/>
      <c r="AW19" s="629"/>
      <c r="AX19" s="629"/>
      <c r="AY19" s="629"/>
      <c r="AZ19" s="629"/>
      <c r="BA19" s="629"/>
      <c r="BB19" s="629"/>
      <c r="BC19" s="629"/>
      <c r="BD19" s="629"/>
      <c r="BE19" s="630"/>
      <c r="BF19" s="696">
        <f>$X19*BF4/($AM4+$AN4+$AP4+$AQ4+$AR4+$BF4)</f>
        <v>231188.65866957471</v>
      </c>
      <c r="BG19" s="711"/>
      <c r="BH19" s="710"/>
      <c r="BI19" s="1433"/>
      <c r="BJ19" s="823"/>
      <c r="BK19" s="1317"/>
      <c r="BL19" s="1317"/>
    </row>
    <row r="20" spans="1:64" ht="125.15" customHeight="1" x14ac:dyDescent="0.35">
      <c r="A20" s="1459">
        <v>7</v>
      </c>
      <c r="B20" s="1358" t="s">
        <v>1443</v>
      </c>
      <c r="C20" s="1281" t="s">
        <v>2293</v>
      </c>
      <c r="D20" s="1281" t="s">
        <v>1434</v>
      </c>
      <c r="E20" s="1470"/>
      <c r="F20" s="856"/>
      <c r="G20" s="857"/>
      <c r="H20" s="857"/>
      <c r="I20" s="857"/>
      <c r="J20" s="857"/>
      <c r="K20" s="857"/>
      <c r="L20" s="857"/>
      <c r="M20" s="857"/>
      <c r="N20" s="858"/>
      <c r="O20" s="1281" t="s">
        <v>1444</v>
      </c>
      <c r="P20" s="1281" t="s">
        <v>1445</v>
      </c>
      <c r="Q20" s="324" t="s">
        <v>1446</v>
      </c>
      <c r="R20" s="324" t="s">
        <v>2186</v>
      </c>
      <c r="S20" s="1268" t="s">
        <v>2294</v>
      </c>
      <c r="T20" s="1520"/>
      <c r="U20" s="1165"/>
      <c r="V20" s="1279"/>
      <c r="W20" s="618"/>
      <c r="X20" s="569" t="s">
        <v>1446</v>
      </c>
      <c r="Y20" s="1281" t="s">
        <v>2295</v>
      </c>
      <c r="Z20" s="1520"/>
      <c r="AA20" s="329"/>
      <c r="AB20" s="600" t="s">
        <v>1446</v>
      </c>
      <c r="AC20" s="1281"/>
      <c r="AD20" s="1520"/>
      <c r="AE20" s="329"/>
      <c r="AF20" s="851"/>
      <c r="AG20" s="1309">
        <v>7</v>
      </c>
      <c r="AH20" s="1275">
        <v>7</v>
      </c>
      <c r="AI20" s="1271" t="s">
        <v>1443</v>
      </c>
      <c r="AJ20" s="1293" t="s">
        <v>2293</v>
      </c>
      <c r="AK20" s="600" t="s">
        <v>1446</v>
      </c>
      <c r="AL20" s="569" t="s">
        <v>1446</v>
      </c>
      <c r="AM20" s="569" t="s">
        <v>1446</v>
      </c>
      <c r="AN20" s="569" t="s">
        <v>1446</v>
      </c>
      <c r="AO20" s="569" t="s">
        <v>1446</v>
      </c>
      <c r="AP20" s="569" t="s">
        <v>1446</v>
      </c>
      <c r="AQ20" s="643" t="s">
        <v>1446</v>
      </c>
      <c r="AR20" s="589" t="s">
        <v>1446</v>
      </c>
      <c r="AS20" s="569" t="s">
        <v>1446</v>
      </c>
      <c r="AT20" s="569" t="s">
        <v>1446</v>
      </c>
      <c r="AU20" s="569" t="s">
        <v>1446</v>
      </c>
      <c r="AV20" s="569" t="s">
        <v>1446</v>
      </c>
      <c r="AW20" s="569" t="s">
        <v>1446</v>
      </c>
      <c r="AX20" s="569" t="s">
        <v>1446</v>
      </c>
      <c r="AY20" s="569" t="s">
        <v>1446</v>
      </c>
      <c r="AZ20" s="569" t="s">
        <v>1446</v>
      </c>
      <c r="BA20" s="569" t="s">
        <v>1446</v>
      </c>
      <c r="BB20" s="569" t="s">
        <v>1446</v>
      </c>
      <c r="BC20" s="569" t="s">
        <v>1446</v>
      </c>
      <c r="BD20" s="569" t="s">
        <v>1446</v>
      </c>
      <c r="BE20" s="708" t="s">
        <v>1446</v>
      </c>
      <c r="BF20" s="600" t="s">
        <v>1446</v>
      </c>
      <c r="BG20" s="569" t="s">
        <v>1446</v>
      </c>
      <c r="BH20" s="888"/>
      <c r="BI20" s="1432">
        <v>7</v>
      </c>
      <c r="BJ20" s="823"/>
      <c r="BK20" s="1316"/>
      <c r="BL20" s="1316"/>
    </row>
    <row r="21" spans="1:64" ht="247.5" customHeight="1" thickBot="1" x14ac:dyDescent="0.4">
      <c r="A21" s="1460"/>
      <c r="B21" s="1362"/>
      <c r="C21" s="1302"/>
      <c r="D21" s="1302"/>
      <c r="E21" s="1485"/>
      <c r="F21" s="1355" t="s">
        <v>2296</v>
      </c>
      <c r="G21" s="1356"/>
      <c r="H21" s="1356"/>
      <c r="I21" s="1356"/>
      <c r="J21" s="1356"/>
      <c r="K21" s="1356"/>
      <c r="L21" s="1356"/>
      <c r="M21" s="1356"/>
      <c r="N21" s="1357"/>
      <c r="O21" s="1302"/>
      <c r="P21" s="1302"/>
      <c r="Q21" s="465">
        <v>1023200</v>
      </c>
      <c r="R21" s="465"/>
      <c r="S21" s="1269"/>
      <c r="T21" s="1522"/>
      <c r="U21" s="835">
        <v>1023200</v>
      </c>
      <c r="V21" s="1280"/>
      <c r="W21" s="610"/>
      <c r="X21" s="664">
        <f>SUM(AK21:BH21)</f>
        <v>1023200</v>
      </c>
      <c r="Y21" s="1302"/>
      <c r="Z21" s="1522"/>
      <c r="AA21" s="331"/>
      <c r="AB21" s="691"/>
      <c r="AC21" s="1302"/>
      <c r="AD21" s="1522"/>
      <c r="AE21" s="331"/>
      <c r="AF21" s="1166"/>
      <c r="AG21" s="1310"/>
      <c r="AH21" s="1276"/>
      <c r="AI21" s="1296"/>
      <c r="AJ21" s="1294"/>
      <c r="AK21" s="724">
        <v>886000</v>
      </c>
      <c r="AL21" s="664">
        <v>137200</v>
      </c>
      <c r="AM21" s="563"/>
      <c r="AN21" s="563"/>
      <c r="AO21" s="563"/>
      <c r="AP21" s="563"/>
      <c r="AQ21" s="698"/>
      <c r="AR21" s="582"/>
      <c r="AS21" s="563"/>
      <c r="AT21" s="563"/>
      <c r="AU21" s="563"/>
      <c r="AV21" s="563"/>
      <c r="AW21" s="563"/>
      <c r="AX21" s="563"/>
      <c r="AY21" s="563"/>
      <c r="AZ21" s="563"/>
      <c r="BA21" s="563"/>
      <c r="BB21" s="563"/>
      <c r="BC21" s="563"/>
      <c r="BD21" s="563"/>
      <c r="BE21" s="709"/>
      <c r="BF21" s="691"/>
      <c r="BG21" s="563"/>
      <c r="BH21" s="897"/>
      <c r="BI21" s="1433"/>
      <c r="BJ21" s="823"/>
      <c r="BK21" s="1317"/>
      <c r="BL21" s="1317"/>
    </row>
    <row r="22" spans="1:64" ht="99.9" customHeight="1" thickTop="1" x14ac:dyDescent="0.35">
      <c r="A22" s="1076"/>
      <c r="B22" s="1368"/>
      <c r="C22" s="1370" t="s">
        <v>1395</v>
      </c>
      <c r="D22" s="1347"/>
      <c r="E22" s="1347"/>
      <c r="F22" s="1347"/>
      <c r="G22" s="1347"/>
      <c r="H22" s="1347"/>
      <c r="I22" s="1347"/>
      <c r="J22" s="1347"/>
      <c r="K22" s="1347"/>
      <c r="L22" s="1347"/>
      <c r="M22" s="1347"/>
      <c r="N22" s="1347"/>
      <c r="O22" s="1347"/>
      <c r="P22" s="1347"/>
      <c r="Q22" s="1349" t="s">
        <v>1</v>
      </c>
      <c r="R22" s="1446" t="s">
        <v>2196</v>
      </c>
      <c r="S22" s="1337"/>
      <c r="T22" s="1510"/>
      <c r="U22" s="1351" t="s">
        <v>2</v>
      </c>
      <c r="V22" s="1337"/>
      <c r="W22" s="1341" t="s">
        <v>856</v>
      </c>
      <c r="X22" s="1488" t="s">
        <v>1267</v>
      </c>
      <c r="Y22" s="1329"/>
      <c r="Z22" s="1510"/>
      <c r="AA22" s="1528" t="s">
        <v>506</v>
      </c>
      <c r="AB22" s="1291" t="s">
        <v>1447</v>
      </c>
      <c r="AC22" s="1335"/>
      <c r="AD22" s="1510"/>
      <c r="AE22" s="1501" t="s">
        <v>508</v>
      </c>
      <c r="AF22" s="1486"/>
      <c r="AG22" s="813"/>
      <c r="AH22" s="814"/>
      <c r="AI22" s="1332"/>
      <c r="AJ22" s="1304" t="s">
        <v>1395</v>
      </c>
      <c r="AK22" s="979" t="s">
        <v>2234</v>
      </c>
      <c r="AL22" s="977" t="s">
        <v>2235</v>
      </c>
      <c r="AM22" s="977" t="s">
        <v>2236</v>
      </c>
      <c r="AN22" s="977" t="s">
        <v>2237</v>
      </c>
      <c r="AO22" s="977" t="s">
        <v>2238</v>
      </c>
      <c r="AP22" s="977" t="s">
        <v>2239</v>
      </c>
      <c r="AQ22" s="1108" t="s">
        <v>2240</v>
      </c>
      <c r="AR22" s="979" t="s">
        <v>2241</v>
      </c>
      <c r="AS22" s="977" t="s">
        <v>2242</v>
      </c>
      <c r="AT22" s="977" t="s">
        <v>2243</v>
      </c>
      <c r="AU22" s="977" t="s">
        <v>2244</v>
      </c>
      <c r="AV22" s="977" t="s">
        <v>2245</v>
      </c>
      <c r="AW22" s="977" t="s">
        <v>2246</v>
      </c>
      <c r="AX22" s="977" t="s">
        <v>2247</v>
      </c>
      <c r="AY22" s="977" t="s">
        <v>2248</v>
      </c>
      <c r="AZ22" s="977" t="s">
        <v>2249</v>
      </c>
      <c r="BA22" s="977" t="s">
        <v>2250</v>
      </c>
      <c r="BB22" s="977" t="s">
        <v>2251</v>
      </c>
      <c r="BC22" s="977" t="s">
        <v>2252</v>
      </c>
      <c r="BD22" s="977" t="s">
        <v>2253</v>
      </c>
      <c r="BE22" s="1108" t="s">
        <v>2254</v>
      </c>
      <c r="BF22" s="979" t="s">
        <v>2255</v>
      </c>
      <c r="BG22" s="1343" t="s">
        <v>41</v>
      </c>
      <c r="BH22" s="1345" t="s">
        <v>42</v>
      </c>
      <c r="BI22" s="868"/>
      <c r="BJ22" s="823"/>
      <c r="BK22" s="1316"/>
      <c r="BL22" s="1316"/>
    </row>
    <row r="23" spans="1:64" s="793" customFormat="1" ht="50.15" customHeight="1" x14ac:dyDescent="0.35">
      <c r="A23" s="1105"/>
      <c r="B23" s="1369"/>
      <c r="C23" s="1371"/>
      <c r="D23" s="1348"/>
      <c r="E23" s="1348"/>
      <c r="F23" s="454"/>
      <c r="G23" s="454"/>
      <c r="H23" s="454"/>
      <c r="I23" s="454"/>
      <c r="J23" s="454"/>
      <c r="K23" s="454"/>
      <c r="L23" s="454"/>
      <c r="M23" s="454"/>
      <c r="N23" s="454"/>
      <c r="O23" s="1348"/>
      <c r="P23" s="1348"/>
      <c r="Q23" s="1350"/>
      <c r="R23" s="1447"/>
      <c r="S23" s="1338"/>
      <c r="T23" s="1511"/>
      <c r="U23" s="1352"/>
      <c r="V23" s="1338"/>
      <c r="W23" s="1342"/>
      <c r="X23" s="1489"/>
      <c r="Y23" s="1330"/>
      <c r="Z23" s="1511"/>
      <c r="AA23" s="1529"/>
      <c r="AB23" s="1292"/>
      <c r="AC23" s="1336"/>
      <c r="AD23" s="1511"/>
      <c r="AE23" s="1502"/>
      <c r="AF23" s="1487"/>
      <c r="AG23" s="781"/>
      <c r="AH23" s="782"/>
      <c r="AI23" s="1333"/>
      <c r="AJ23" s="1305"/>
      <c r="AK23" s="987">
        <v>8500</v>
      </c>
      <c r="AL23" s="982">
        <v>1500</v>
      </c>
      <c r="AM23" s="982">
        <v>2600</v>
      </c>
      <c r="AN23" s="983">
        <v>750</v>
      </c>
      <c r="AO23" s="983" t="s">
        <v>48</v>
      </c>
      <c r="AP23" s="982">
        <v>2100</v>
      </c>
      <c r="AQ23" s="1109">
        <v>1050</v>
      </c>
      <c r="AR23" s="985">
        <v>550</v>
      </c>
      <c r="AS23" s="983">
        <v>70</v>
      </c>
      <c r="AT23" s="983">
        <v>30</v>
      </c>
      <c r="AU23" s="983">
        <v>35</v>
      </c>
      <c r="AV23" s="983">
        <v>35</v>
      </c>
      <c r="AW23" s="983">
        <v>20</v>
      </c>
      <c r="AX23" s="983">
        <v>16</v>
      </c>
      <c r="AY23" s="983">
        <v>15</v>
      </c>
      <c r="AZ23" s="983">
        <v>13</v>
      </c>
      <c r="BA23" s="983">
        <v>10</v>
      </c>
      <c r="BB23" s="983">
        <v>10</v>
      </c>
      <c r="BC23" s="983">
        <v>10</v>
      </c>
      <c r="BD23" s="983">
        <v>10</v>
      </c>
      <c r="BE23" s="1110">
        <v>10</v>
      </c>
      <c r="BF23" s="987">
        <v>2120</v>
      </c>
      <c r="BG23" s="1344"/>
      <c r="BH23" s="1346"/>
      <c r="BI23" s="1074"/>
      <c r="BJ23" s="823"/>
      <c r="BK23" s="1317"/>
      <c r="BL23" s="1317"/>
    </row>
    <row r="24" spans="1:64" ht="17.25" customHeight="1" thickBot="1" x14ac:dyDescent="0.4">
      <c r="A24" s="1077"/>
      <c r="B24" s="988"/>
      <c r="C24" s="573"/>
      <c r="D24" s="573"/>
      <c r="E24" s="989" t="s">
        <v>857</v>
      </c>
      <c r="F24" s="574"/>
      <c r="G24" s="574"/>
      <c r="H24" s="574"/>
      <c r="I24" s="574"/>
      <c r="J24" s="574"/>
      <c r="K24" s="574"/>
      <c r="L24" s="574"/>
      <c r="M24" s="574"/>
      <c r="N24" s="578"/>
      <c r="O24" s="574"/>
      <c r="P24" s="573"/>
      <c r="Q24" s="590"/>
      <c r="R24" s="595"/>
      <c r="S24" s="592"/>
      <c r="T24" s="577"/>
      <c r="U24" s="590"/>
      <c r="V24" s="595"/>
      <c r="W24" s="596"/>
      <c r="X24" s="593"/>
      <c r="Y24" s="631"/>
      <c r="Z24" s="577"/>
      <c r="AA24" s="590"/>
      <c r="AB24" s="593"/>
      <c r="AC24" s="620"/>
      <c r="AD24" s="577"/>
      <c r="AE24" s="593"/>
      <c r="AF24" s="1111"/>
      <c r="AG24" s="798"/>
      <c r="AH24" s="770"/>
      <c r="AI24" s="991"/>
      <c r="AJ24" s="992" t="s">
        <v>857</v>
      </c>
      <c r="AK24" s="996"/>
      <c r="AL24" s="994"/>
      <c r="AM24" s="994"/>
      <c r="AN24" s="994"/>
      <c r="AO24" s="994"/>
      <c r="AP24" s="994"/>
      <c r="AQ24" s="1112"/>
      <c r="AR24" s="996"/>
      <c r="AS24" s="994"/>
      <c r="AT24" s="994"/>
      <c r="AU24" s="994"/>
      <c r="AV24" s="994"/>
      <c r="AW24" s="994"/>
      <c r="AX24" s="994"/>
      <c r="AY24" s="994"/>
      <c r="AZ24" s="994"/>
      <c r="BA24" s="994"/>
      <c r="BB24" s="994"/>
      <c r="BC24" s="994"/>
      <c r="BD24" s="994"/>
      <c r="BE24" s="1112"/>
      <c r="BF24" s="996"/>
      <c r="BG24" s="997"/>
      <c r="BH24" s="998"/>
      <c r="BJ24" s="823"/>
      <c r="BK24" s="807"/>
      <c r="BL24" s="807"/>
    </row>
    <row r="25" spans="1:64" s="1012" customFormat="1" ht="19" thickTop="1" x14ac:dyDescent="0.35">
      <c r="A25" s="821">
        <v>8</v>
      </c>
      <c r="B25" s="1000"/>
      <c r="C25" s="1000"/>
      <c r="D25" s="1000"/>
      <c r="E25" s="1001" t="s">
        <v>2205</v>
      </c>
      <c r="F25" s="1002"/>
      <c r="G25" s="1002"/>
      <c r="H25" s="1002"/>
      <c r="I25" s="1002"/>
      <c r="J25" s="1002"/>
      <c r="K25" s="1002"/>
      <c r="L25" s="1002"/>
      <c r="M25" s="1002"/>
      <c r="N25" s="1002"/>
      <c r="O25" s="1003"/>
      <c r="P25" s="1002"/>
      <c r="Q25" s="1004">
        <f>Q7+Q10+Q12+Q15+Q17+Q19+Q21</f>
        <v>58532289</v>
      </c>
      <c r="R25" s="1004">
        <f>R10+R12+R15+R17+R19+Q21</f>
        <v>64880537</v>
      </c>
      <c r="S25" s="1005"/>
      <c r="T25" s="1005"/>
      <c r="U25" s="1006"/>
      <c r="V25" s="1005"/>
      <c r="W25" s="1009"/>
      <c r="X25" s="1006"/>
      <c r="Y25" s="1008"/>
      <c r="Z25" s="1005"/>
      <c r="AA25" s="1009"/>
      <c r="AB25" s="1006"/>
      <c r="AC25" s="1010"/>
      <c r="AD25" s="1005"/>
      <c r="AE25" s="1009"/>
      <c r="AF25" s="1011"/>
      <c r="AG25" s="821">
        <v>8</v>
      </c>
      <c r="AH25" s="758"/>
      <c r="AI25" s="1011"/>
      <c r="AJ25" s="1011"/>
      <c r="AK25" s="1006"/>
      <c r="AL25" s="1007"/>
      <c r="AM25" s="1007"/>
      <c r="AN25" s="1007"/>
      <c r="AO25" s="1007"/>
      <c r="AP25" s="1007"/>
      <c r="AQ25" s="1007"/>
      <c r="AR25" s="1007"/>
      <c r="AS25" s="1007"/>
      <c r="AT25" s="1007"/>
      <c r="AU25" s="1007"/>
      <c r="AV25" s="1007"/>
      <c r="AW25" s="1007"/>
      <c r="AX25" s="1007"/>
      <c r="AY25" s="1007"/>
      <c r="AZ25" s="1007"/>
      <c r="BA25" s="1007"/>
      <c r="BB25" s="1007"/>
      <c r="BC25" s="1007"/>
      <c r="BD25" s="1007"/>
      <c r="BE25" s="1007"/>
      <c r="BF25" s="1007"/>
      <c r="BG25" s="1007"/>
      <c r="BH25" s="1007"/>
      <c r="BI25" s="758"/>
      <c r="BJ25" s="860"/>
      <c r="BK25" s="1326"/>
      <c r="BL25" s="1326"/>
    </row>
    <row r="26" spans="1:64" s="1012" customFormat="1" ht="18.5" x14ac:dyDescent="0.35">
      <c r="A26" s="821">
        <v>9</v>
      </c>
      <c r="B26" s="1013"/>
      <c r="C26" s="1014"/>
      <c r="D26" s="1014"/>
      <c r="E26" s="1015" t="s">
        <v>859</v>
      </c>
      <c r="F26" s="1016"/>
      <c r="G26" s="1016"/>
      <c r="H26" s="1016"/>
      <c r="I26" s="1016"/>
      <c r="J26" s="1016"/>
      <c r="K26" s="1016"/>
      <c r="L26" s="1016"/>
      <c r="M26" s="1016"/>
      <c r="N26" s="1016"/>
      <c r="O26" s="1017"/>
      <c r="P26" s="1018"/>
      <c r="Q26" s="1016"/>
      <c r="R26" s="1016"/>
      <c r="S26" s="1018"/>
      <c r="T26" s="1013"/>
      <c r="U26" s="1019">
        <f>U7+U10+U12+U15+U17+U19+U21</f>
        <v>23038200</v>
      </c>
      <c r="V26" s="1020"/>
      <c r="W26" s="1113"/>
      <c r="X26" s="1113"/>
      <c r="Y26" s="1022"/>
      <c r="AA26" s="1023"/>
      <c r="AB26" s="1113"/>
      <c r="AC26" s="1020"/>
      <c r="AE26" s="1023"/>
      <c r="AG26" s="821">
        <v>9</v>
      </c>
      <c r="AH26" s="758"/>
      <c r="AJ26" s="1024"/>
      <c r="AK26" s="1023"/>
      <c r="AL26" s="1025"/>
      <c r="AM26" s="1025"/>
      <c r="AN26" s="1025"/>
      <c r="AO26" s="1025"/>
      <c r="AP26" s="1025"/>
      <c r="AQ26" s="1025"/>
      <c r="AR26" s="1025"/>
      <c r="AS26" s="1025"/>
      <c r="AT26" s="1025"/>
      <c r="AU26" s="1025"/>
      <c r="AV26" s="1025"/>
      <c r="AW26" s="1025"/>
      <c r="AX26" s="1025"/>
      <c r="AY26" s="1025"/>
      <c r="AZ26" s="1025"/>
      <c r="BA26" s="1025"/>
      <c r="BB26" s="1025"/>
      <c r="BC26" s="1025"/>
      <c r="BD26" s="1025"/>
      <c r="BE26" s="1025"/>
      <c r="BF26" s="1025"/>
      <c r="BG26" s="1025"/>
      <c r="BH26" s="1025"/>
      <c r="BI26" s="758"/>
      <c r="BJ26" s="791"/>
      <c r="BK26" s="1326"/>
      <c r="BL26" s="1326"/>
    </row>
    <row r="27" spans="1:64" s="1012" customFormat="1" ht="18.5" x14ac:dyDescent="0.35">
      <c r="A27" s="821">
        <v>10</v>
      </c>
      <c r="B27" s="1026"/>
      <c r="C27" s="1026"/>
      <c r="D27" s="1026"/>
      <c r="E27" s="1027" t="s">
        <v>860</v>
      </c>
      <c r="F27" s="1028"/>
      <c r="G27" s="1028"/>
      <c r="H27" s="1028"/>
      <c r="I27" s="1028"/>
      <c r="J27" s="1028"/>
      <c r="K27" s="1028"/>
      <c r="L27" s="1028"/>
      <c r="M27" s="1028"/>
      <c r="N27" s="1028"/>
      <c r="O27" s="1029"/>
      <c r="P27" s="1030"/>
      <c r="Q27" s="1028"/>
      <c r="R27" s="1028"/>
      <c r="S27" s="1030"/>
      <c r="T27" s="1167"/>
      <c r="U27" s="1028"/>
      <c r="V27" s="1028"/>
      <c r="W27" s="1114">
        <f>W7+W10+W12+W15+W17+W19+W21</f>
        <v>34259534</v>
      </c>
      <c r="X27" s="1115"/>
      <c r="Y27" s="1032"/>
      <c r="Z27" s="1033"/>
      <c r="AA27" s="1114">
        <f>AA7+AA10+AA12+AA15+AA17+AA19+AA21</f>
        <v>17497575.858669575</v>
      </c>
      <c r="AB27" s="1115"/>
      <c r="AC27" s="1034"/>
      <c r="AD27" s="1033"/>
      <c r="AE27" s="1114">
        <f>AE7+AE10+AE12+AE15+AE17+AE19+AE21</f>
        <v>15469917.800000001</v>
      </c>
      <c r="AF27" s="1011"/>
      <c r="AG27" s="821">
        <v>10</v>
      </c>
      <c r="AH27" s="881"/>
      <c r="AI27" s="1011"/>
      <c r="AJ27" s="1011"/>
      <c r="AK27" s="1006"/>
      <c r="AL27" s="1007"/>
      <c r="AM27" s="1007"/>
      <c r="AN27" s="1007"/>
      <c r="AO27" s="1007"/>
      <c r="AP27" s="1007"/>
      <c r="AQ27" s="1007"/>
      <c r="AR27" s="1007"/>
      <c r="AS27" s="1007"/>
      <c r="AT27" s="1007"/>
      <c r="AU27" s="1007"/>
      <c r="AV27" s="1007"/>
      <c r="AW27" s="1007"/>
      <c r="AX27" s="1007"/>
      <c r="AY27" s="1007"/>
      <c r="AZ27" s="1007"/>
      <c r="BA27" s="1007"/>
      <c r="BB27" s="1007"/>
      <c r="BC27" s="1007"/>
      <c r="BD27" s="1007"/>
      <c r="BE27" s="1007"/>
      <c r="BF27" s="1007"/>
      <c r="BG27" s="1007"/>
      <c r="BH27" s="1007"/>
      <c r="BI27" s="881"/>
      <c r="BJ27" s="823"/>
      <c r="BK27" s="1326"/>
      <c r="BL27" s="1326"/>
    </row>
    <row r="28" spans="1:64" s="1012" customFormat="1" ht="18.5" x14ac:dyDescent="0.35">
      <c r="A28" s="821">
        <v>11</v>
      </c>
      <c r="B28" s="1036"/>
      <c r="C28" s="1036"/>
      <c r="D28" s="1036"/>
      <c r="E28" s="1037" t="s">
        <v>861</v>
      </c>
      <c r="F28" s="1038"/>
      <c r="G28" s="1038"/>
      <c r="H28" s="1038"/>
      <c r="I28" s="1038"/>
      <c r="J28" s="1038"/>
      <c r="K28" s="1038"/>
      <c r="L28" s="1038"/>
      <c r="M28" s="1038"/>
      <c r="N28" s="1038"/>
      <c r="O28" s="1039"/>
      <c r="P28" s="1040"/>
      <c r="Q28" s="1038"/>
      <c r="R28" s="1038"/>
      <c r="S28" s="1040"/>
      <c r="T28" s="1040"/>
      <c r="U28" s="1038"/>
      <c r="V28" s="1038"/>
      <c r="W28" s="1038"/>
      <c r="X28" s="1041">
        <f>X7+X10+X12+X15+X17+X19+X21</f>
        <v>19250901.800000001</v>
      </c>
      <c r="Y28" s="1042"/>
      <c r="Z28" s="1043"/>
      <c r="AA28" s="1168"/>
      <c r="AB28" s="1041">
        <f>AB7+AB10+AB12+AB15+AB17+AB19+AB21</f>
        <v>750419.05866957468</v>
      </c>
      <c r="AC28" s="1020"/>
      <c r="AE28" s="1116"/>
      <c r="AG28" s="821">
        <v>11</v>
      </c>
      <c r="AH28" s="821">
        <v>11</v>
      </c>
      <c r="AI28" s="1036"/>
      <c r="AJ28" s="1037" t="s">
        <v>862</v>
      </c>
      <c r="AK28" s="1117">
        <f>AK7+AK10+AK12+AK15+AK17+AK19+AK21</f>
        <v>9092979</v>
      </c>
      <c r="AL28" s="1117">
        <f t="shared" ref="AL28:BH28" si="1">AL7+AL10+AL12+AL15+AL17+AL19+AL21</f>
        <v>1587827</v>
      </c>
      <c r="AM28" s="1117">
        <f t="shared" si="1"/>
        <v>4385135.7083936911</v>
      </c>
      <c r="AN28" s="1117">
        <f t="shared" si="1"/>
        <v>1264942.9928058723</v>
      </c>
      <c r="AO28" s="1117">
        <f t="shared" si="1"/>
        <v>0</v>
      </c>
      <c r="AP28" s="1117">
        <f t="shared" si="1"/>
        <v>2964339.6335877865</v>
      </c>
      <c r="AQ28" s="1117">
        <f t="shared" si="1"/>
        <v>1482169.8167938932</v>
      </c>
      <c r="AR28" s="1117">
        <f t="shared" si="1"/>
        <v>194684.18974918211</v>
      </c>
      <c r="AS28" s="1117">
        <f t="shared" si="1"/>
        <v>17144.399999999998</v>
      </c>
      <c r="AT28" s="1117">
        <f t="shared" si="1"/>
        <v>7347.5999999999995</v>
      </c>
      <c r="AU28" s="1117">
        <f t="shared" si="1"/>
        <v>8572.1999999999989</v>
      </c>
      <c r="AV28" s="1117">
        <f t="shared" si="1"/>
        <v>8572.1999999999989</v>
      </c>
      <c r="AW28" s="1117">
        <f t="shared" si="1"/>
        <v>4898.3999999999996</v>
      </c>
      <c r="AX28" s="1117">
        <f t="shared" si="1"/>
        <v>0</v>
      </c>
      <c r="AY28" s="1117">
        <f t="shared" si="1"/>
        <v>0</v>
      </c>
      <c r="AZ28" s="1117">
        <f t="shared" si="1"/>
        <v>0</v>
      </c>
      <c r="BA28" s="1117">
        <f t="shared" si="1"/>
        <v>0</v>
      </c>
      <c r="BB28" s="1117">
        <f t="shared" si="1"/>
        <v>0</v>
      </c>
      <c r="BC28" s="1117">
        <f t="shared" si="1"/>
        <v>0</v>
      </c>
      <c r="BD28" s="1117">
        <f t="shared" si="1"/>
        <v>0</v>
      </c>
      <c r="BE28" s="1117">
        <f t="shared" si="1"/>
        <v>0</v>
      </c>
      <c r="BF28" s="1117">
        <f t="shared" si="1"/>
        <v>750419.05866957468</v>
      </c>
      <c r="BG28" s="1117">
        <f t="shared" si="1"/>
        <v>0</v>
      </c>
      <c r="BH28" s="1117">
        <f t="shared" si="1"/>
        <v>0</v>
      </c>
      <c r="BI28" s="821">
        <v>11</v>
      </c>
      <c r="BJ28" s="823"/>
      <c r="BK28" s="1326"/>
      <c r="BL28" s="1326"/>
    </row>
    <row r="29" spans="1:64" s="1012" customFormat="1" ht="15" customHeight="1" x14ac:dyDescent="0.35">
      <c r="A29" s="758"/>
      <c r="B29" s="1072" t="s">
        <v>449</v>
      </c>
      <c r="C29" s="1072" t="s">
        <v>450</v>
      </c>
      <c r="D29" s="1072" t="s">
        <v>451</v>
      </c>
      <c r="E29" s="1072" t="s">
        <v>452</v>
      </c>
      <c r="F29" s="1464" t="s">
        <v>453</v>
      </c>
      <c r="G29" s="1464"/>
      <c r="H29" s="1464"/>
      <c r="I29" s="1464"/>
      <c r="J29" s="1464"/>
      <c r="K29" s="1464"/>
      <c r="L29" s="1464"/>
      <c r="M29" s="1464"/>
      <c r="N29" s="1464"/>
      <c r="O29" s="1072" t="s">
        <v>454</v>
      </c>
      <c r="P29" s="1072" t="s">
        <v>455</v>
      </c>
      <c r="Q29" s="1072" t="s">
        <v>456</v>
      </c>
      <c r="R29" s="1072"/>
      <c r="S29" s="1072" t="s">
        <v>457</v>
      </c>
      <c r="T29" s="1072" t="s">
        <v>458</v>
      </c>
      <c r="U29" s="1072" t="s">
        <v>459</v>
      </c>
      <c r="V29" s="1072" t="s">
        <v>460</v>
      </c>
      <c r="W29" s="1072" t="s">
        <v>461</v>
      </c>
      <c r="X29" s="1072" t="s">
        <v>242</v>
      </c>
      <c r="Y29" s="1072" t="s">
        <v>462</v>
      </c>
      <c r="Z29" s="1072" t="s">
        <v>463</v>
      </c>
      <c r="AA29" s="1072" t="s">
        <v>464</v>
      </c>
      <c r="AB29" s="1072" t="s">
        <v>465</v>
      </c>
      <c r="AC29" s="1072" t="s">
        <v>466</v>
      </c>
      <c r="AD29" s="1072" t="s">
        <v>467</v>
      </c>
      <c r="AE29" s="1072" t="s">
        <v>468</v>
      </c>
      <c r="AF29" s="1072" t="s">
        <v>469</v>
      </c>
      <c r="AG29" s="758"/>
      <c r="AH29" s="758"/>
      <c r="AI29" s="1072" t="s">
        <v>449</v>
      </c>
      <c r="AJ29" s="1072" t="s">
        <v>450</v>
      </c>
      <c r="AK29" s="1072" t="s">
        <v>471</v>
      </c>
      <c r="AL29" s="1072" t="s">
        <v>472</v>
      </c>
      <c r="AM29" s="1072" t="s">
        <v>473</v>
      </c>
      <c r="AN29" s="1072" t="s">
        <v>474</v>
      </c>
      <c r="AO29" s="1072" t="s">
        <v>475</v>
      </c>
      <c r="AP29" s="1072" t="s">
        <v>476</v>
      </c>
      <c r="AQ29" s="1072" t="s">
        <v>477</v>
      </c>
      <c r="AR29" s="1072" t="s">
        <v>478</v>
      </c>
      <c r="AS29" s="1072" t="s">
        <v>479</v>
      </c>
      <c r="AT29" s="1072" t="s">
        <v>480</v>
      </c>
      <c r="AU29" s="1072" t="s">
        <v>481</v>
      </c>
      <c r="AV29" s="1072" t="s">
        <v>482</v>
      </c>
      <c r="AW29" s="1072" t="s">
        <v>483</v>
      </c>
      <c r="AX29" s="1072" t="s">
        <v>484</v>
      </c>
      <c r="AY29" s="1072" t="s">
        <v>485</v>
      </c>
      <c r="AZ29" s="1072" t="s">
        <v>486</v>
      </c>
      <c r="BA29" s="1072" t="s">
        <v>487</v>
      </c>
      <c r="BB29" s="1072" t="s">
        <v>488</v>
      </c>
      <c r="BC29" s="1072" t="s">
        <v>489</v>
      </c>
      <c r="BD29" s="1072" t="s">
        <v>490</v>
      </c>
      <c r="BE29" s="1072" t="s">
        <v>491</v>
      </c>
      <c r="BF29" s="1072" t="s">
        <v>492</v>
      </c>
      <c r="BG29" s="1072" t="s">
        <v>493</v>
      </c>
      <c r="BH29" s="1072" t="s">
        <v>494</v>
      </c>
      <c r="BI29" s="758"/>
      <c r="BJ29" s="889"/>
      <c r="BK29" s="1326"/>
      <c r="BL29" s="1326"/>
    </row>
    <row r="30" spans="1:64" s="758" customFormat="1" ht="15" customHeight="1" x14ac:dyDescent="0.35">
      <c r="Q30" s="758" t="s">
        <v>463</v>
      </c>
      <c r="U30" s="758" t="s">
        <v>466</v>
      </c>
      <c r="W30" s="758" t="s">
        <v>468</v>
      </c>
      <c r="X30" s="758" t="s">
        <v>469</v>
      </c>
      <c r="AA30" s="758" t="s">
        <v>257</v>
      </c>
      <c r="AB30" s="758" t="s">
        <v>1269</v>
      </c>
      <c r="AE30" s="758" t="s">
        <v>473</v>
      </c>
      <c r="AK30" s="880" t="s">
        <v>475</v>
      </c>
      <c r="AL30" s="880" t="s">
        <v>476</v>
      </c>
      <c r="AM30" s="880" t="s">
        <v>477</v>
      </c>
      <c r="AN30" s="880" t="s">
        <v>478</v>
      </c>
      <c r="AO30" s="880" t="s">
        <v>479</v>
      </c>
      <c r="AP30" s="880" t="s">
        <v>480</v>
      </c>
      <c r="AQ30" s="880" t="s">
        <v>481</v>
      </c>
      <c r="AR30" s="880" t="s">
        <v>482</v>
      </c>
      <c r="AS30" s="880" t="s">
        <v>483</v>
      </c>
      <c r="AT30" s="880" t="s">
        <v>484</v>
      </c>
      <c r="AU30" s="880" t="s">
        <v>485</v>
      </c>
      <c r="AV30" s="880" t="s">
        <v>486</v>
      </c>
      <c r="AW30" s="880" t="s">
        <v>487</v>
      </c>
      <c r="AX30" s="880" t="s">
        <v>488</v>
      </c>
      <c r="AY30" s="880" t="s">
        <v>489</v>
      </c>
      <c r="AZ30" s="880" t="s">
        <v>490</v>
      </c>
      <c r="BA30" s="880" t="s">
        <v>491</v>
      </c>
      <c r="BB30" s="880" t="s">
        <v>492</v>
      </c>
      <c r="BC30" s="880" t="s">
        <v>493</v>
      </c>
      <c r="BD30" s="880" t="s">
        <v>494</v>
      </c>
      <c r="BE30" s="880" t="s">
        <v>1270</v>
      </c>
      <c r="BF30" s="758" t="s">
        <v>1271</v>
      </c>
      <c r="BG30" s="758" t="s">
        <v>1272</v>
      </c>
      <c r="BH30" s="758" t="s">
        <v>1273</v>
      </c>
      <c r="BJ30" s="1156"/>
      <c r="BK30" s="1327"/>
      <c r="BL30" s="1327"/>
    </row>
    <row r="31" spans="1:64" s="1012" customFormat="1" ht="18.5" x14ac:dyDescent="0.35">
      <c r="A31" s="758"/>
      <c r="E31" s="1020"/>
      <c r="F31" s="1020"/>
      <c r="G31" s="1020"/>
      <c r="H31" s="1020"/>
      <c r="I31" s="1020"/>
      <c r="J31" s="1020"/>
      <c r="K31" s="1020"/>
      <c r="L31" s="1020"/>
      <c r="M31" s="1020"/>
      <c r="N31" s="1020"/>
      <c r="O31" s="1020"/>
      <c r="Q31" s="1020"/>
      <c r="R31" s="1020"/>
      <c r="U31" s="1020"/>
      <c r="V31" s="1020"/>
      <c r="W31" s="1020"/>
      <c r="X31" s="1020"/>
      <c r="Y31" s="1020"/>
      <c r="AB31" s="1020"/>
      <c r="AC31" s="1020"/>
      <c r="AG31" s="758"/>
      <c r="AH31" s="758"/>
      <c r="BI31" s="758"/>
      <c r="BJ31" s="889"/>
      <c r="BK31" s="1118"/>
      <c r="BL31" s="1119"/>
    </row>
    <row r="32" spans="1:64" x14ac:dyDescent="0.35">
      <c r="AK32" s="928"/>
      <c r="AL32" s="1060"/>
      <c r="AM32" s="928"/>
      <c r="AN32" s="928"/>
      <c r="AO32" s="928"/>
      <c r="AP32" s="928"/>
      <c r="AQ32" s="928"/>
      <c r="AR32" s="928"/>
      <c r="AS32" s="928"/>
      <c r="AT32" s="928"/>
      <c r="AU32" s="928"/>
      <c r="AV32" s="928"/>
      <c r="AW32" s="928"/>
      <c r="AX32" s="928"/>
      <c r="AY32" s="928"/>
      <c r="AZ32" s="928"/>
      <c r="BA32" s="928"/>
      <c r="BB32" s="928"/>
      <c r="BC32" s="928"/>
      <c r="BD32" s="928"/>
      <c r="BE32" s="928"/>
      <c r="BF32" s="1060"/>
    </row>
    <row r="33" spans="17:58" x14ac:dyDescent="0.35">
      <c r="AK33" s="928"/>
      <c r="AL33" s="1060"/>
      <c r="AM33" s="928"/>
      <c r="AN33" s="928"/>
      <c r="AO33" s="928"/>
      <c r="AP33" s="928"/>
      <c r="AQ33" s="928"/>
      <c r="AR33" s="928"/>
      <c r="AS33" s="928"/>
      <c r="AT33" s="928"/>
      <c r="AU33" s="928"/>
      <c r="AV33" s="928"/>
      <c r="AW33" s="928"/>
      <c r="AX33" s="928"/>
      <c r="AY33" s="928"/>
      <c r="AZ33" s="928"/>
      <c r="BA33" s="928"/>
      <c r="BB33" s="928"/>
      <c r="BC33" s="928"/>
      <c r="BD33" s="928"/>
      <c r="BE33" s="928"/>
      <c r="BF33" s="1060"/>
    </row>
    <row r="34" spans="17:58" x14ac:dyDescent="0.35">
      <c r="AK34" s="928"/>
      <c r="AL34" s="1060"/>
      <c r="AM34" s="928"/>
      <c r="AN34" s="928"/>
      <c r="AO34" s="928"/>
      <c r="AP34" s="928"/>
      <c r="AQ34" s="928"/>
      <c r="AR34" s="928"/>
      <c r="AS34" s="928"/>
      <c r="AT34" s="928"/>
      <c r="AU34" s="928"/>
      <c r="AV34" s="928"/>
      <c r="AW34" s="928"/>
      <c r="AX34" s="928"/>
      <c r="AY34" s="928"/>
      <c r="AZ34" s="928"/>
      <c r="BA34" s="928"/>
      <c r="BB34" s="928"/>
      <c r="BC34" s="928"/>
      <c r="BD34" s="928"/>
      <c r="BE34" s="928"/>
      <c r="BF34" s="1060"/>
    </row>
    <row r="35" spans="17:58" x14ac:dyDescent="0.35">
      <c r="AK35" s="928"/>
      <c r="AL35" s="1060"/>
      <c r="AM35" s="928"/>
      <c r="AN35" s="928"/>
      <c r="AO35" s="928"/>
      <c r="AP35" s="928"/>
      <c r="AQ35" s="928"/>
      <c r="AR35" s="928"/>
      <c r="AS35" s="928"/>
      <c r="AT35" s="928"/>
      <c r="AU35" s="928"/>
      <c r="AV35" s="928"/>
      <c r="AW35" s="928"/>
      <c r="AX35" s="928"/>
      <c r="AY35" s="928"/>
      <c r="AZ35" s="928"/>
      <c r="BA35" s="928"/>
      <c r="BB35" s="928"/>
      <c r="BC35" s="928"/>
      <c r="BD35" s="928"/>
      <c r="BE35" s="928"/>
      <c r="BF35" s="1060"/>
    </row>
    <row r="36" spans="17:58" x14ac:dyDescent="0.35">
      <c r="AK36" s="928"/>
      <c r="AL36" s="1060"/>
      <c r="AM36" s="928"/>
      <c r="AN36" s="928"/>
      <c r="AO36" s="928"/>
      <c r="AP36" s="928"/>
      <c r="AQ36" s="928"/>
      <c r="AR36" s="928"/>
      <c r="AS36" s="928"/>
      <c r="AT36" s="928"/>
      <c r="AU36" s="928"/>
      <c r="AV36" s="928"/>
      <c r="AW36" s="928"/>
      <c r="AX36" s="928"/>
      <c r="AY36" s="928"/>
      <c r="AZ36" s="928"/>
      <c r="BA36" s="928"/>
      <c r="BB36" s="928"/>
      <c r="BC36" s="928"/>
      <c r="BD36" s="928"/>
      <c r="BE36" s="928"/>
      <c r="BF36" s="1060"/>
    </row>
    <row r="37" spans="17:58" x14ac:dyDescent="0.35">
      <c r="AK37" s="928"/>
      <c r="AL37" s="1060"/>
      <c r="AM37" s="928"/>
      <c r="AN37" s="928"/>
      <c r="AO37" s="928"/>
      <c r="AP37" s="928"/>
      <c r="AQ37" s="928"/>
      <c r="AR37" s="928"/>
      <c r="AS37" s="928"/>
      <c r="AT37" s="928"/>
      <c r="AU37" s="928"/>
      <c r="AV37" s="928"/>
      <c r="AW37" s="928"/>
      <c r="AX37" s="928"/>
      <c r="AY37" s="928"/>
      <c r="AZ37" s="928"/>
      <c r="BA37" s="928"/>
      <c r="BB37" s="928"/>
      <c r="BC37" s="928"/>
      <c r="BD37" s="928"/>
      <c r="BE37" s="928"/>
      <c r="BF37" s="1060"/>
    </row>
    <row r="38" spans="17:58" x14ac:dyDescent="0.35">
      <c r="AK38" s="928"/>
      <c r="AL38" s="1060"/>
      <c r="AM38" s="928"/>
      <c r="AN38" s="928"/>
      <c r="AO38" s="928"/>
      <c r="AP38" s="928"/>
      <c r="AQ38" s="928"/>
      <c r="AR38" s="928"/>
      <c r="AS38" s="928"/>
      <c r="AT38" s="928"/>
      <c r="AU38" s="928"/>
      <c r="AV38" s="928"/>
      <c r="AW38" s="928"/>
      <c r="AX38" s="928"/>
      <c r="AY38" s="928"/>
      <c r="AZ38" s="928"/>
      <c r="BA38" s="928"/>
      <c r="BB38" s="928"/>
      <c r="BC38" s="928"/>
      <c r="BD38" s="928"/>
      <c r="BE38" s="928"/>
      <c r="BF38" s="1060"/>
    </row>
    <row r="39" spans="17:58" x14ac:dyDescent="0.35">
      <c r="AK39" s="928"/>
      <c r="AL39" s="1060"/>
      <c r="AM39" s="928"/>
      <c r="AN39" s="928"/>
      <c r="AO39" s="928"/>
      <c r="AP39" s="928"/>
      <c r="AQ39" s="928"/>
      <c r="AR39" s="928"/>
      <c r="AS39" s="928"/>
      <c r="AT39" s="928"/>
      <c r="AU39" s="928"/>
      <c r="AV39" s="928"/>
      <c r="AW39" s="928"/>
      <c r="AX39" s="928"/>
      <c r="AY39" s="928"/>
      <c r="AZ39" s="928"/>
      <c r="BA39" s="928"/>
      <c r="BB39" s="928"/>
      <c r="BC39" s="928"/>
      <c r="BD39" s="928"/>
      <c r="BE39" s="928"/>
      <c r="BF39" s="1060"/>
    </row>
    <row r="40" spans="17:58" x14ac:dyDescent="0.35">
      <c r="AK40" s="928"/>
      <c r="AL40" s="1060"/>
      <c r="AM40" s="1064"/>
      <c r="AN40" s="1065"/>
      <c r="AO40" s="1064"/>
      <c r="AP40" s="1065"/>
      <c r="AQ40" s="1066"/>
      <c r="AR40" s="928"/>
      <c r="AS40" s="928"/>
      <c r="AT40" s="928"/>
      <c r="AU40" s="928"/>
      <c r="AV40" s="928"/>
      <c r="AW40" s="928"/>
      <c r="AX40" s="928"/>
      <c r="AY40" s="928"/>
      <c r="AZ40" s="928"/>
      <c r="BA40" s="928"/>
      <c r="BB40" s="928"/>
      <c r="BC40" s="928"/>
      <c r="BD40" s="928"/>
      <c r="BE40" s="928"/>
      <c r="BF40" s="1060"/>
    </row>
    <row r="41" spans="17:58" x14ac:dyDescent="0.35">
      <c r="AK41" s="928"/>
      <c r="AL41" s="1060"/>
      <c r="AM41" s="1066"/>
      <c r="AN41" s="1066"/>
      <c r="AO41" s="1064"/>
      <c r="AP41" s="1066"/>
      <c r="AQ41" s="1066"/>
      <c r="AR41" s="1066"/>
      <c r="AS41" s="928"/>
      <c r="AT41" s="928"/>
      <c r="AU41" s="928"/>
      <c r="AV41" s="928"/>
      <c r="AW41" s="928"/>
      <c r="AX41" s="928"/>
      <c r="AY41" s="928"/>
      <c r="AZ41" s="928"/>
      <c r="BA41" s="928"/>
      <c r="BB41" s="928"/>
      <c r="BC41" s="928"/>
      <c r="BD41" s="928"/>
      <c r="BE41" s="928"/>
      <c r="BF41" s="1060"/>
    </row>
    <row r="42" spans="17:58" x14ac:dyDescent="0.35">
      <c r="AK42" s="928"/>
      <c r="AL42" s="1060"/>
      <c r="AM42" s="928"/>
      <c r="AN42" s="928"/>
      <c r="AO42" s="928"/>
      <c r="AP42" s="928"/>
      <c r="AQ42" s="928"/>
      <c r="AR42" s="928"/>
      <c r="AS42" s="928"/>
      <c r="AT42" s="928"/>
      <c r="AU42" s="928"/>
      <c r="AV42" s="928"/>
      <c r="AW42" s="928"/>
      <c r="AX42" s="928"/>
      <c r="AY42" s="928"/>
      <c r="AZ42" s="928"/>
      <c r="BA42" s="928"/>
      <c r="BB42" s="928"/>
      <c r="BC42" s="928"/>
      <c r="BD42" s="928"/>
      <c r="BE42" s="928"/>
      <c r="BF42" s="1060"/>
    </row>
    <row r="43" spans="17:58" x14ac:dyDescent="0.35">
      <c r="AK43" s="928"/>
      <c r="AL43" s="1060"/>
      <c r="AM43" s="928"/>
      <c r="AN43" s="928"/>
      <c r="AO43" s="928"/>
      <c r="AP43" s="928"/>
      <c r="AQ43" s="928"/>
      <c r="AR43" s="928"/>
      <c r="AS43" s="928"/>
      <c r="AT43" s="928"/>
      <c r="AU43" s="928"/>
      <c r="AV43" s="928"/>
      <c r="AW43" s="928"/>
      <c r="AX43" s="928"/>
      <c r="AY43" s="928"/>
      <c r="AZ43" s="928"/>
      <c r="BA43" s="928"/>
      <c r="BB43" s="928"/>
      <c r="BC43" s="928"/>
      <c r="BD43" s="928"/>
      <c r="BE43" s="928"/>
      <c r="BF43" s="1060"/>
    </row>
    <row r="44" spans="17:58" x14ac:dyDescent="0.35">
      <c r="Q44" s="750"/>
      <c r="R44" s="750"/>
      <c r="AK44" s="928"/>
      <c r="AL44" s="1060"/>
      <c r="AM44" s="928"/>
      <c r="AN44" s="928"/>
      <c r="AO44" s="928"/>
      <c r="AP44" s="928"/>
      <c r="AQ44" s="1066"/>
      <c r="AR44" s="928"/>
      <c r="AS44" s="928"/>
      <c r="AT44" s="928"/>
      <c r="AU44" s="928"/>
      <c r="AV44" s="928"/>
      <c r="AW44" s="928"/>
      <c r="AX44" s="928"/>
      <c r="AY44" s="928"/>
      <c r="AZ44" s="928"/>
      <c r="BA44" s="928"/>
      <c r="BB44" s="928"/>
      <c r="BC44" s="928"/>
      <c r="BD44" s="928"/>
      <c r="BE44" s="928"/>
      <c r="BF44" s="1060"/>
    </row>
    <row r="45" spans="17:58" x14ac:dyDescent="0.35">
      <c r="AK45" s="928"/>
      <c r="AL45" s="1060"/>
      <c r="AM45" s="928"/>
      <c r="AN45" s="928"/>
      <c r="AO45" s="928"/>
      <c r="AP45" s="928"/>
      <c r="AQ45" s="928"/>
      <c r="AR45" s="928"/>
      <c r="AS45" s="928"/>
      <c r="AT45" s="928"/>
      <c r="AU45" s="928"/>
      <c r="AV45" s="928"/>
      <c r="AW45" s="928"/>
      <c r="AX45" s="928"/>
      <c r="AY45" s="928"/>
      <c r="AZ45" s="928"/>
      <c r="BA45" s="928"/>
      <c r="BB45" s="928"/>
      <c r="BC45" s="928"/>
      <c r="BD45" s="928"/>
      <c r="BE45" s="928"/>
      <c r="BF45" s="1060"/>
    </row>
    <row r="46" spans="17:58" x14ac:dyDescent="0.35">
      <c r="AK46" s="928"/>
      <c r="AL46" s="1060"/>
      <c r="AM46" s="928"/>
      <c r="AN46" s="928"/>
      <c r="AO46" s="928"/>
      <c r="AP46" s="928"/>
      <c r="AQ46" s="928"/>
      <c r="AR46" s="928"/>
      <c r="AS46" s="928"/>
      <c r="AT46" s="928"/>
      <c r="AU46" s="928"/>
      <c r="AV46" s="928"/>
      <c r="AW46" s="928"/>
      <c r="AX46" s="928"/>
      <c r="AY46" s="928"/>
      <c r="AZ46" s="928"/>
      <c r="BA46" s="928"/>
      <c r="BB46" s="928"/>
      <c r="BC46" s="928"/>
      <c r="BD46" s="928"/>
      <c r="BE46" s="928"/>
      <c r="BF46" s="1060"/>
    </row>
    <row r="47" spans="17:58" x14ac:dyDescent="0.35">
      <c r="AK47" s="928"/>
      <c r="AL47" s="1060"/>
      <c r="AM47" s="928"/>
      <c r="AN47" s="928"/>
      <c r="AO47" s="928"/>
      <c r="AP47" s="928"/>
      <c r="AQ47" s="928"/>
      <c r="AR47" s="928"/>
      <c r="AS47" s="928"/>
      <c r="AT47" s="928"/>
      <c r="AU47" s="928"/>
      <c r="AV47" s="928"/>
      <c r="AW47" s="928"/>
      <c r="AX47" s="928"/>
      <c r="AY47" s="928"/>
      <c r="AZ47" s="928"/>
      <c r="BA47" s="928"/>
      <c r="BB47" s="928"/>
      <c r="BC47" s="928"/>
      <c r="BD47" s="928"/>
      <c r="BE47" s="928"/>
      <c r="BF47" s="1060"/>
    </row>
    <row r="48" spans="17:58" x14ac:dyDescent="0.35">
      <c r="AK48" s="928"/>
      <c r="AL48" s="1060"/>
      <c r="AM48" s="928"/>
      <c r="AN48" s="928"/>
      <c r="AO48" s="928"/>
      <c r="AP48" s="928"/>
      <c r="AQ48" s="928"/>
      <c r="AR48" s="928"/>
      <c r="AS48" s="928"/>
      <c r="AT48" s="928"/>
      <c r="AU48" s="928"/>
      <c r="AV48" s="928"/>
      <c r="AW48" s="928"/>
      <c r="AX48" s="928"/>
      <c r="AY48" s="928"/>
      <c r="AZ48" s="928"/>
      <c r="BA48" s="928"/>
      <c r="BB48" s="928"/>
      <c r="BC48" s="928"/>
      <c r="BD48" s="928"/>
      <c r="BE48" s="928"/>
      <c r="BF48" s="1060"/>
    </row>
    <row r="49" spans="37:58" x14ac:dyDescent="0.35">
      <c r="AK49" s="928"/>
      <c r="AL49" s="1060"/>
      <c r="AM49" s="928"/>
      <c r="AN49" s="928"/>
      <c r="AO49" s="928"/>
      <c r="AP49" s="928"/>
      <c r="AQ49" s="928"/>
      <c r="AR49" s="928"/>
      <c r="AS49" s="928"/>
      <c r="AT49" s="928"/>
      <c r="AU49" s="928"/>
      <c r="AV49" s="928"/>
      <c r="AW49" s="928"/>
      <c r="AX49" s="928"/>
      <c r="AY49" s="928"/>
      <c r="AZ49" s="928"/>
      <c r="BA49" s="928"/>
      <c r="BB49" s="928"/>
      <c r="BC49" s="928"/>
      <c r="BD49" s="928"/>
      <c r="BE49" s="928"/>
      <c r="BF49" s="1060"/>
    </row>
    <row r="50" spans="37:58" x14ac:dyDescent="0.35">
      <c r="AK50" s="928"/>
      <c r="AL50" s="1060"/>
      <c r="AM50" s="928"/>
      <c r="AN50" s="928"/>
      <c r="AO50" s="928"/>
      <c r="AP50" s="928"/>
      <c r="AQ50" s="928"/>
      <c r="AR50" s="928"/>
      <c r="AS50" s="928"/>
      <c r="AT50" s="928"/>
      <c r="AU50" s="928"/>
      <c r="AV50" s="928"/>
      <c r="AW50" s="928"/>
      <c r="AX50" s="928"/>
      <c r="AY50" s="928"/>
      <c r="AZ50" s="928"/>
      <c r="BA50" s="928"/>
      <c r="BB50" s="928"/>
      <c r="BC50" s="928"/>
      <c r="BD50" s="928"/>
      <c r="BE50" s="928"/>
      <c r="BF50" s="1060"/>
    </row>
    <row r="51" spans="37:58" x14ac:dyDescent="0.35">
      <c r="AK51" s="928"/>
      <c r="AL51" s="1060"/>
      <c r="AM51" s="928"/>
      <c r="AN51" s="928"/>
      <c r="AO51" s="928"/>
      <c r="AP51" s="928"/>
      <c r="AQ51" s="928"/>
      <c r="AR51" s="928"/>
      <c r="AS51" s="928"/>
      <c r="AT51" s="928"/>
      <c r="AU51" s="928"/>
      <c r="AV51" s="928"/>
      <c r="AW51" s="928"/>
      <c r="AX51" s="928"/>
      <c r="AY51" s="928"/>
      <c r="AZ51" s="928"/>
      <c r="BA51" s="928"/>
      <c r="BB51" s="928"/>
      <c r="BC51" s="928"/>
      <c r="BD51" s="1068"/>
      <c r="BE51" s="1069"/>
      <c r="BF51" s="1060"/>
    </row>
    <row r="52" spans="37:58" x14ac:dyDescent="0.35">
      <c r="AK52" s="928"/>
      <c r="AL52" s="1060"/>
      <c r="AM52" s="928"/>
      <c r="AN52" s="928"/>
      <c r="AO52" s="928"/>
      <c r="AP52" s="928"/>
      <c r="AQ52" s="928"/>
      <c r="AR52" s="928"/>
      <c r="AS52" s="928"/>
      <c r="AT52" s="928"/>
      <c r="AU52" s="928"/>
      <c r="AV52" s="928"/>
      <c r="AW52" s="928"/>
      <c r="AX52" s="928"/>
      <c r="AY52" s="928"/>
      <c r="AZ52" s="928"/>
      <c r="BA52" s="928"/>
      <c r="BB52" s="928"/>
      <c r="BC52" s="928"/>
      <c r="BD52" s="1068"/>
      <c r="BE52" s="1068"/>
      <c r="BF52" s="1060"/>
    </row>
    <row r="53" spans="37:58" x14ac:dyDescent="0.35">
      <c r="AK53" s="928"/>
      <c r="AL53" s="1060"/>
      <c r="AM53" s="928"/>
      <c r="AN53" s="928"/>
      <c r="AO53" s="928"/>
      <c r="AP53" s="928"/>
      <c r="AQ53" s="928"/>
      <c r="AR53" s="928"/>
      <c r="AS53" s="928"/>
      <c r="AT53" s="928"/>
      <c r="AU53" s="928"/>
      <c r="AV53" s="928"/>
      <c r="AW53" s="928"/>
      <c r="AX53" s="928"/>
      <c r="AY53" s="928"/>
      <c r="AZ53" s="928"/>
      <c r="BA53" s="928"/>
      <c r="BB53" s="928"/>
      <c r="BC53" s="928"/>
      <c r="BD53" s="1068"/>
      <c r="BE53" s="1068"/>
      <c r="BF53" s="1060"/>
    </row>
    <row r="54" spans="37:58" x14ac:dyDescent="0.35">
      <c r="AK54" s="928"/>
      <c r="AL54" s="1060"/>
      <c r="AM54" s="928"/>
      <c r="AN54" s="928"/>
      <c r="AO54" s="928"/>
      <c r="AP54" s="928"/>
      <c r="AQ54" s="928"/>
      <c r="AR54" s="928"/>
      <c r="AS54" s="928"/>
      <c r="AT54" s="928"/>
      <c r="AU54" s="928"/>
      <c r="AV54" s="928"/>
      <c r="AW54" s="928"/>
      <c r="AX54" s="928"/>
      <c r="AY54" s="928"/>
      <c r="AZ54" s="928"/>
      <c r="BA54" s="928"/>
      <c r="BB54" s="928"/>
      <c r="BC54" s="928"/>
      <c r="BD54" s="1068"/>
      <c r="BE54" s="1070"/>
      <c r="BF54" s="1060"/>
    </row>
    <row r="55" spans="37:58" x14ac:dyDescent="0.35">
      <c r="AK55" s="928"/>
      <c r="AL55" s="1060"/>
      <c r="AM55" s="928"/>
      <c r="AN55" s="928"/>
      <c r="AO55" s="928"/>
      <c r="AP55" s="928"/>
      <c r="AQ55" s="928"/>
      <c r="AR55" s="928"/>
      <c r="AS55" s="928"/>
      <c r="AT55" s="928"/>
      <c r="AU55" s="928"/>
      <c r="AV55" s="928"/>
      <c r="AW55" s="928"/>
      <c r="AX55" s="928"/>
      <c r="AY55" s="928"/>
      <c r="AZ55" s="928"/>
      <c r="BA55" s="928"/>
      <c r="BB55" s="928"/>
      <c r="BC55" s="928"/>
      <c r="BD55" s="1068"/>
      <c r="BE55" s="1070"/>
      <c r="BF55" s="1060"/>
    </row>
    <row r="56" spans="37:58" x14ac:dyDescent="0.35">
      <c r="AK56" s="928"/>
      <c r="AL56" s="1060"/>
      <c r="AM56" s="928"/>
      <c r="AN56" s="928"/>
      <c r="AO56" s="928"/>
      <c r="AP56" s="928"/>
      <c r="AQ56" s="928"/>
      <c r="AR56" s="928"/>
      <c r="AS56" s="928"/>
      <c r="AT56" s="928"/>
      <c r="AU56" s="928"/>
      <c r="AV56" s="928"/>
      <c r="AW56" s="928"/>
      <c r="AX56" s="928"/>
      <c r="AY56" s="928"/>
      <c r="AZ56" s="928"/>
      <c r="BA56" s="928"/>
      <c r="BB56" s="928"/>
      <c r="BC56" s="928"/>
      <c r="BD56" s="1068"/>
      <c r="BE56" s="1070"/>
      <c r="BF56" s="1060"/>
    </row>
    <row r="57" spans="37:58" x14ac:dyDescent="0.35">
      <c r="AK57" s="928"/>
      <c r="AL57" s="1060"/>
      <c r="AM57" s="928"/>
      <c r="AN57" s="928"/>
      <c r="AO57" s="928"/>
      <c r="AP57" s="928"/>
      <c r="AQ57" s="928"/>
      <c r="AR57" s="928"/>
      <c r="AS57" s="928"/>
      <c r="AT57" s="928"/>
      <c r="AU57" s="928"/>
      <c r="AV57" s="928"/>
      <c r="AW57" s="928"/>
      <c r="AX57" s="928"/>
      <c r="AY57" s="928"/>
      <c r="AZ57" s="928"/>
      <c r="BA57" s="928"/>
      <c r="BB57" s="928"/>
      <c r="BC57" s="928"/>
      <c r="BD57" s="1068"/>
      <c r="BE57" s="1068"/>
      <c r="BF57" s="1060"/>
    </row>
    <row r="58" spans="37:58" x14ac:dyDescent="0.35">
      <c r="AK58" s="928"/>
      <c r="AL58" s="1060"/>
      <c r="AM58" s="928"/>
      <c r="AN58" s="928"/>
      <c r="AO58" s="928"/>
      <c r="AP58" s="928"/>
      <c r="AQ58" s="928"/>
      <c r="AR58" s="928"/>
      <c r="AS58" s="928"/>
      <c r="AT58" s="928"/>
      <c r="AU58" s="928"/>
      <c r="AV58" s="928"/>
      <c r="AW58" s="928"/>
      <c r="AX58" s="928"/>
      <c r="AY58" s="928"/>
      <c r="AZ58" s="928"/>
      <c r="BA58" s="928"/>
      <c r="BB58" s="928"/>
      <c r="BC58" s="928"/>
      <c r="BD58" s="1068"/>
      <c r="BE58" s="1070"/>
      <c r="BF58" s="1060"/>
    </row>
    <row r="59" spans="37:58" x14ac:dyDescent="0.35">
      <c r="AK59" s="928"/>
      <c r="AL59" s="1060"/>
      <c r="AM59" s="928"/>
      <c r="AN59" s="928"/>
      <c r="AO59" s="928"/>
      <c r="AP59" s="928"/>
      <c r="AQ59" s="928"/>
      <c r="AR59" s="928"/>
      <c r="AS59" s="928"/>
      <c r="AT59" s="928"/>
      <c r="AU59" s="928"/>
      <c r="AV59" s="928"/>
      <c r="AW59" s="928"/>
      <c r="AX59" s="928"/>
      <c r="AY59" s="928"/>
      <c r="AZ59" s="928"/>
      <c r="BA59" s="928"/>
      <c r="BB59" s="928"/>
      <c r="BC59" s="928"/>
      <c r="BD59" s="1068"/>
      <c r="BE59" s="1068"/>
      <c r="BF59" s="1060"/>
    </row>
    <row r="60" spans="37:58" x14ac:dyDescent="0.35">
      <c r="AK60" s="928"/>
      <c r="AL60" s="1060"/>
      <c r="AM60" s="928"/>
      <c r="AN60" s="928"/>
      <c r="AO60" s="928"/>
      <c r="AP60" s="928"/>
      <c r="AQ60" s="928"/>
      <c r="AR60" s="928"/>
      <c r="AS60" s="928"/>
      <c r="AT60" s="928"/>
      <c r="AU60" s="928"/>
      <c r="AV60" s="928"/>
      <c r="AW60" s="928"/>
      <c r="AX60" s="928"/>
      <c r="AY60" s="928"/>
      <c r="AZ60" s="928"/>
      <c r="BA60" s="928"/>
      <c r="BB60" s="928"/>
      <c r="BC60" s="928"/>
      <c r="BD60" s="1068"/>
      <c r="BE60" s="1068"/>
      <c r="BF60" s="1060"/>
    </row>
    <row r="61" spans="37:58" x14ac:dyDescent="0.35">
      <c r="AK61" s="928"/>
      <c r="AL61" s="1060"/>
      <c r="AM61" s="928"/>
      <c r="AN61" s="928"/>
      <c r="AO61" s="928"/>
      <c r="AP61" s="928"/>
      <c r="AQ61" s="928"/>
      <c r="AR61" s="928"/>
      <c r="AS61" s="928"/>
      <c r="AT61" s="928"/>
      <c r="AU61" s="928"/>
      <c r="AV61" s="928"/>
      <c r="AW61" s="928"/>
      <c r="AX61" s="928"/>
      <c r="AY61" s="928"/>
      <c r="AZ61" s="928"/>
      <c r="BA61" s="928"/>
      <c r="BB61" s="928"/>
      <c r="BC61" s="928"/>
      <c r="BD61" s="928"/>
      <c r="BE61" s="928"/>
      <c r="BF61" s="1060"/>
    </row>
    <row r="62" spans="37:58" x14ac:dyDescent="0.35">
      <c r="AK62" s="928"/>
      <c r="AL62" s="1060"/>
      <c r="AM62" s="928"/>
      <c r="AN62" s="928"/>
      <c r="AO62" s="928"/>
      <c r="AP62" s="928"/>
      <c r="AQ62" s="928"/>
      <c r="AR62" s="928"/>
      <c r="AS62" s="928"/>
      <c r="AT62" s="928"/>
      <c r="AU62" s="928"/>
      <c r="AV62" s="928"/>
      <c r="AW62" s="928"/>
      <c r="AX62" s="928"/>
      <c r="AY62" s="928"/>
      <c r="AZ62" s="928"/>
      <c r="BA62" s="928"/>
      <c r="BB62" s="928"/>
      <c r="BC62" s="928"/>
      <c r="BD62" s="928"/>
      <c r="BE62" s="928"/>
      <c r="BF62" s="1060"/>
    </row>
    <row r="63" spans="37:58" x14ac:dyDescent="0.35">
      <c r="AK63" s="928"/>
      <c r="AL63" s="1060"/>
      <c r="AM63" s="928"/>
      <c r="AN63" s="928"/>
      <c r="AO63" s="928"/>
      <c r="AP63" s="928"/>
      <c r="AQ63" s="928"/>
      <c r="AR63" s="928"/>
      <c r="AS63" s="928"/>
      <c r="AT63" s="928"/>
      <c r="AU63" s="928"/>
      <c r="AV63" s="928"/>
      <c r="AW63" s="928"/>
      <c r="AX63" s="928"/>
      <c r="AY63" s="928"/>
      <c r="AZ63" s="928"/>
      <c r="BA63" s="928"/>
      <c r="BB63" s="928"/>
      <c r="BC63" s="928"/>
      <c r="BD63" s="928"/>
      <c r="BE63" s="928"/>
      <c r="BF63" s="1060"/>
    </row>
    <row r="64" spans="37:58" x14ac:dyDescent="0.35">
      <c r="AK64" s="928"/>
      <c r="AL64" s="1060"/>
      <c r="AM64" s="928"/>
      <c r="AN64" s="928"/>
      <c r="AO64" s="928"/>
      <c r="AP64" s="928"/>
      <c r="AQ64" s="928"/>
      <c r="AR64" s="928"/>
      <c r="AS64" s="928"/>
      <c r="AT64" s="928"/>
      <c r="AU64" s="928"/>
      <c r="AV64" s="928"/>
      <c r="AW64" s="928"/>
      <c r="AX64" s="928"/>
      <c r="AY64" s="928"/>
      <c r="AZ64" s="928"/>
      <c r="BA64" s="928"/>
      <c r="BB64" s="928"/>
      <c r="BC64" s="928"/>
      <c r="BD64" s="928"/>
      <c r="BE64" s="928"/>
      <c r="BF64" s="1060"/>
    </row>
    <row r="65" spans="37:58" x14ac:dyDescent="0.35">
      <c r="AK65" s="928"/>
      <c r="AL65" s="1060"/>
      <c r="AM65" s="928"/>
      <c r="AN65" s="928"/>
      <c r="AO65" s="928"/>
      <c r="AP65" s="928"/>
      <c r="AQ65" s="928"/>
      <c r="AR65" s="928"/>
      <c r="AS65" s="928"/>
      <c r="AT65" s="928"/>
      <c r="AU65" s="928"/>
      <c r="AV65" s="928"/>
      <c r="AW65" s="928"/>
      <c r="AX65" s="928"/>
      <c r="AY65" s="928"/>
      <c r="AZ65" s="928"/>
      <c r="BA65" s="928"/>
      <c r="BB65" s="928"/>
      <c r="BC65" s="928"/>
      <c r="BD65" s="928"/>
      <c r="BE65" s="928"/>
      <c r="BF65" s="1060"/>
    </row>
    <row r="66" spans="37:58" x14ac:dyDescent="0.35">
      <c r="AK66" s="928"/>
      <c r="AL66" s="1060"/>
      <c r="AM66" s="928"/>
      <c r="AN66" s="928"/>
      <c r="AO66" s="928"/>
      <c r="AP66" s="928"/>
      <c r="AQ66" s="928"/>
      <c r="AR66" s="928"/>
      <c r="AS66" s="928"/>
      <c r="AT66" s="928"/>
      <c r="AU66" s="928"/>
      <c r="AV66" s="928"/>
      <c r="AW66" s="928"/>
      <c r="AX66" s="928"/>
      <c r="AY66" s="928"/>
      <c r="AZ66" s="928"/>
      <c r="BA66" s="928"/>
      <c r="BB66" s="928"/>
      <c r="BC66" s="928"/>
      <c r="BD66" s="928"/>
      <c r="BE66" s="928"/>
      <c r="BF66" s="1060"/>
    </row>
    <row r="67" spans="37:58" x14ac:dyDescent="0.35">
      <c r="AK67" s="928"/>
      <c r="AL67" s="1060"/>
      <c r="AM67" s="928"/>
      <c r="AN67" s="928"/>
      <c r="AO67" s="928"/>
      <c r="AP67" s="928"/>
      <c r="AQ67" s="928"/>
      <c r="AR67" s="928"/>
      <c r="AS67" s="928"/>
      <c r="AT67" s="928"/>
      <c r="AU67" s="928"/>
      <c r="AV67" s="928"/>
      <c r="AW67" s="928"/>
      <c r="AX67" s="928"/>
      <c r="AY67" s="928"/>
      <c r="AZ67" s="928"/>
      <c r="BA67" s="928"/>
      <c r="BB67" s="928"/>
      <c r="BC67" s="928"/>
      <c r="BD67" s="928"/>
      <c r="BE67" s="928"/>
      <c r="BF67" s="1060"/>
    </row>
    <row r="68" spans="37:58" x14ac:dyDescent="0.35">
      <c r="AK68" s="928"/>
      <c r="AL68" s="1060"/>
      <c r="AM68" s="928"/>
      <c r="AN68" s="928"/>
      <c r="AO68" s="928"/>
      <c r="AP68" s="928"/>
      <c r="AQ68" s="928"/>
      <c r="AR68" s="928"/>
      <c r="AS68" s="928"/>
      <c r="AT68" s="928"/>
      <c r="AU68" s="928"/>
      <c r="AV68" s="928"/>
      <c r="AW68" s="928"/>
      <c r="AX68" s="928"/>
      <c r="AY68" s="928"/>
      <c r="AZ68" s="928"/>
      <c r="BA68" s="928"/>
      <c r="BB68" s="928"/>
      <c r="BC68" s="928"/>
      <c r="BD68" s="928"/>
      <c r="BE68" s="928"/>
      <c r="BF68" s="1060"/>
    </row>
    <row r="69" spans="37:58" x14ac:dyDescent="0.35">
      <c r="AK69" s="928"/>
      <c r="AL69" s="1060"/>
      <c r="AM69" s="928"/>
      <c r="AN69" s="928"/>
      <c r="AO69" s="928"/>
      <c r="AP69" s="928"/>
      <c r="AQ69" s="928"/>
      <c r="AR69" s="928"/>
      <c r="AS69" s="928"/>
      <c r="AT69" s="928"/>
      <c r="AU69" s="928"/>
      <c r="AV69" s="928"/>
      <c r="AW69" s="928"/>
      <c r="AX69" s="928"/>
      <c r="AY69" s="928"/>
      <c r="AZ69" s="928"/>
      <c r="BA69" s="928"/>
      <c r="BB69" s="928"/>
      <c r="BC69" s="928"/>
      <c r="BD69" s="928"/>
      <c r="BE69" s="928"/>
      <c r="BF69" s="1060"/>
    </row>
    <row r="70" spans="37:58" x14ac:dyDescent="0.35">
      <c r="AK70" s="928"/>
      <c r="AL70" s="1060"/>
      <c r="AM70" s="928"/>
      <c r="AN70" s="928"/>
      <c r="AO70" s="928"/>
      <c r="AP70" s="928"/>
      <c r="AQ70" s="928"/>
      <c r="AR70" s="928"/>
      <c r="AS70" s="928"/>
      <c r="AT70" s="928"/>
      <c r="AU70" s="928"/>
      <c r="AV70" s="928"/>
      <c r="AW70" s="928"/>
      <c r="AX70" s="928"/>
      <c r="AY70" s="928"/>
      <c r="AZ70" s="928"/>
      <c r="BA70" s="928"/>
      <c r="BB70" s="928"/>
      <c r="BC70" s="928"/>
      <c r="BD70" s="928"/>
      <c r="BE70" s="928"/>
      <c r="BF70" s="1060"/>
    </row>
    <row r="71" spans="37:58" x14ac:dyDescent="0.35">
      <c r="AK71" s="928"/>
      <c r="AL71" s="1060"/>
      <c r="AM71" s="928"/>
      <c r="AN71" s="928"/>
      <c r="AO71" s="928"/>
      <c r="AP71" s="928"/>
      <c r="AQ71" s="928"/>
      <c r="AR71" s="928"/>
      <c r="AS71" s="928"/>
      <c r="AT71" s="928"/>
      <c r="AU71" s="928"/>
      <c r="AV71" s="928"/>
      <c r="AW71" s="928"/>
      <c r="AX71" s="928"/>
      <c r="AY71" s="928"/>
      <c r="AZ71" s="928"/>
      <c r="BA71" s="928"/>
      <c r="BB71" s="928"/>
      <c r="BC71" s="928"/>
      <c r="BD71" s="928"/>
      <c r="BE71" s="928"/>
      <c r="BF71" s="1060"/>
    </row>
    <row r="72" spans="37:58" x14ac:dyDescent="0.35">
      <c r="AK72" s="928"/>
      <c r="AL72" s="1060"/>
      <c r="AM72" s="928"/>
      <c r="AN72" s="928"/>
      <c r="AO72" s="928"/>
      <c r="AP72" s="928"/>
      <c r="AQ72" s="928"/>
      <c r="AR72" s="928"/>
      <c r="AS72" s="928"/>
      <c r="AT72" s="928"/>
      <c r="AU72" s="928"/>
      <c r="AV72" s="928"/>
      <c r="AW72" s="928"/>
      <c r="AX72" s="928"/>
      <c r="AY72" s="928"/>
      <c r="AZ72" s="928"/>
      <c r="BA72" s="928"/>
      <c r="BB72" s="928"/>
      <c r="BC72" s="928"/>
      <c r="BD72" s="928"/>
      <c r="BE72" s="928"/>
      <c r="BF72" s="1060"/>
    </row>
    <row r="73" spans="37:58" x14ac:dyDescent="0.35">
      <c r="AK73" s="928"/>
      <c r="AL73" s="1060"/>
      <c r="AM73" s="928"/>
      <c r="AN73" s="928"/>
      <c r="AO73" s="928"/>
      <c r="AP73" s="928"/>
      <c r="AQ73" s="928"/>
      <c r="AR73" s="928"/>
      <c r="AS73" s="928"/>
      <c r="AT73" s="928"/>
      <c r="AU73" s="928"/>
      <c r="AV73" s="928"/>
      <c r="AW73" s="928"/>
      <c r="AX73" s="928"/>
      <c r="AY73" s="928"/>
      <c r="AZ73" s="928"/>
      <c r="BA73" s="928"/>
      <c r="BB73" s="928"/>
      <c r="BC73" s="928"/>
      <c r="BD73" s="928"/>
      <c r="BE73" s="928"/>
      <c r="BF73" s="1060"/>
    </row>
    <row r="74" spans="37:58" x14ac:dyDescent="0.35">
      <c r="AK74" s="928"/>
      <c r="AL74" s="1060"/>
      <c r="AM74" s="928"/>
      <c r="AN74" s="928"/>
      <c r="AO74" s="928"/>
      <c r="AP74" s="928"/>
      <c r="AQ74" s="928"/>
      <c r="AR74" s="928"/>
      <c r="AS74" s="928"/>
      <c r="AT74" s="928"/>
      <c r="AU74" s="928"/>
      <c r="AV74" s="928"/>
      <c r="AW74" s="928"/>
      <c r="AX74" s="928"/>
      <c r="AY74" s="928"/>
      <c r="AZ74" s="928"/>
      <c r="BA74" s="928"/>
      <c r="BB74" s="928"/>
      <c r="BC74" s="928"/>
      <c r="BD74" s="928"/>
      <c r="BE74" s="928"/>
      <c r="BF74" s="1060"/>
    </row>
    <row r="75" spans="37:58" x14ac:dyDescent="0.35">
      <c r="AK75" s="928"/>
      <c r="AL75" s="1060"/>
      <c r="AM75" s="928"/>
      <c r="AN75" s="928"/>
      <c r="AO75" s="928"/>
      <c r="AP75" s="928"/>
      <c r="AQ75" s="928"/>
      <c r="AR75" s="928"/>
      <c r="AS75" s="928"/>
      <c r="AT75" s="928"/>
      <c r="AU75" s="928"/>
      <c r="AV75" s="928"/>
      <c r="AW75" s="928"/>
      <c r="AX75" s="928"/>
      <c r="AY75" s="928"/>
      <c r="AZ75" s="928"/>
      <c r="BA75" s="928"/>
      <c r="BB75" s="928"/>
      <c r="BC75" s="928"/>
      <c r="BD75" s="928"/>
      <c r="BE75" s="928"/>
      <c r="BF75" s="1060"/>
    </row>
    <row r="76" spans="37:58" x14ac:dyDescent="0.35">
      <c r="AK76" s="928"/>
      <c r="AL76" s="1060"/>
      <c r="AM76" s="928"/>
      <c r="AN76" s="928"/>
      <c r="AO76" s="928"/>
      <c r="AP76" s="928"/>
      <c r="AQ76" s="928"/>
      <c r="AR76" s="928"/>
      <c r="AS76" s="928"/>
      <c r="AT76" s="928"/>
      <c r="AU76" s="928"/>
      <c r="AV76" s="928"/>
      <c r="AW76" s="928"/>
      <c r="AX76" s="928"/>
      <c r="AY76" s="928"/>
      <c r="AZ76" s="928"/>
      <c r="BA76" s="928"/>
      <c r="BB76" s="928"/>
      <c r="BC76" s="928"/>
      <c r="BD76" s="928"/>
      <c r="BE76" s="928"/>
      <c r="BF76" s="1060"/>
    </row>
    <row r="77" spans="37:58" x14ac:dyDescent="0.35">
      <c r="AK77" s="928"/>
      <c r="AL77" s="1060"/>
      <c r="AM77" s="928"/>
      <c r="AN77" s="928"/>
      <c r="AO77" s="928"/>
      <c r="AP77" s="928"/>
      <c r="AQ77" s="928"/>
      <c r="AR77" s="928"/>
      <c r="AS77" s="928"/>
      <c r="AT77" s="928"/>
      <c r="AU77" s="928"/>
      <c r="AV77" s="928"/>
      <c r="AW77" s="928"/>
      <c r="AX77" s="928"/>
      <c r="AY77" s="928"/>
      <c r="AZ77" s="928"/>
      <c r="BA77" s="928"/>
      <c r="BB77" s="928"/>
      <c r="BC77" s="928"/>
      <c r="BD77" s="928"/>
      <c r="BE77" s="928"/>
      <c r="BF77" s="1060"/>
    </row>
    <row r="78" spans="37:58" x14ac:dyDescent="0.35">
      <c r="AK78" s="928"/>
      <c r="AL78" s="1060"/>
      <c r="AM78" s="928"/>
      <c r="AN78" s="928"/>
      <c r="AO78" s="928"/>
      <c r="AP78" s="928"/>
      <c r="AQ78" s="928"/>
      <c r="AR78" s="928"/>
      <c r="AS78" s="928"/>
      <c r="AT78" s="928"/>
      <c r="AU78" s="928"/>
      <c r="AV78" s="928"/>
      <c r="AW78" s="928"/>
      <c r="AX78" s="928"/>
      <c r="AY78" s="928"/>
      <c r="AZ78" s="928"/>
      <c r="BA78" s="928"/>
      <c r="BB78" s="928"/>
      <c r="BC78" s="928"/>
      <c r="BD78" s="928"/>
      <c r="BE78" s="928"/>
      <c r="BF78" s="1060"/>
    </row>
    <row r="79" spans="37:58" x14ac:dyDescent="0.35">
      <c r="AK79" s="928"/>
      <c r="AL79" s="1060"/>
      <c r="AM79" s="928"/>
      <c r="AN79" s="928"/>
      <c r="AO79" s="928"/>
      <c r="AP79" s="928"/>
      <c r="AQ79" s="928"/>
      <c r="AR79" s="928"/>
      <c r="AS79" s="928"/>
      <c r="AT79" s="928"/>
      <c r="AU79" s="928"/>
      <c r="AV79" s="928"/>
      <c r="AW79" s="928"/>
      <c r="AX79" s="928"/>
      <c r="AY79" s="928"/>
      <c r="AZ79" s="928"/>
      <c r="BA79" s="928"/>
      <c r="BB79" s="928"/>
      <c r="BC79" s="928"/>
      <c r="BD79" s="928"/>
      <c r="BE79" s="928"/>
      <c r="BF79" s="1060"/>
    </row>
    <row r="80" spans="37:58" x14ac:dyDescent="0.35">
      <c r="AK80" s="928"/>
      <c r="AL80" s="1060"/>
      <c r="AM80" s="928"/>
      <c r="AN80" s="928"/>
      <c r="AO80" s="928"/>
      <c r="AP80" s="928"/>
      <c r="AQ80" s="928"/>
      <c r="AR80" s="928"/>
      <c r="AS80" s="928"/>
      <c r="AT80" s="928"/>
      <c r="AU80" s="928"/>
      <c r="AV80" s="928"/>
      <c r="AW80" s="928"/>
      <c r="AX80" s="928"/>
      <c r="AY80" s="928"/>
      <c r="AZ80" s="928"/>
      <c r="BA80" s="928"/>
      <c r="BB80" s="928"/>
      <c r="BC80" s="928"/>
      <c r="BD80" s="928"/>
      <c r="BE80" s="928"/>
      <c r="BF80" s="1060"/>
    </row>
    <row r="81" spans="37:58" x14ac:dyDescent="0.35">
      <c r="AK81" s="928"/>
      <c r="AL81" s="1060"/>
      <c r="AM81" s="928"/>
      <c r="AN81" s="928"/>
      <c r="AO81" s="928"/>
      <c r="AP81" s="928"/>
      <c r="AQ81" s="928"/>
      <c r="AR81" s="928"/>
      <c r="AS81" s="928"/>
      <c r="AT81" s="928"/>
      <c r="AU81" s="928"/>
      <c r="AV81" s="928"/>
      <c r="AW81" s="928"/>
      <c r="AX81" s="928"/>
      <c r="AY81" s="928"/>
      <c r="AZ81" s="928"/>
      <c r="BA81" s="928"/>
      <c r="BB81" s="928"/>
      <c r="BC81" s="928"/>
      <c r="BD81" s="928"/>
      <c r="BE81" s="928"/>
      <c r="BF81" s="1060"/>
    </row>
    <row r="82" spans="37:58" x14ac:dyDescent="0.35">
      <c r="AK82" s="928"/>
      <c r="AL82" s="1060"/>
      <c r="AM82" s="928"/>
      <c r="AN82" s="928"/>
      <c r="AO82" s="928"/>
      <c r="AP82" s="928"/>
      <c r="AQ82" s="928"/>
      <c r="AR82" s="928"/>
      <c r="AS82" s="928"/>
      <c r="AT82" s="928"/>
      <c r="AU82" s="928"/>
      <c r="AV82" s="928"/>
      <c r="AW82" s="928"/>
      <c r="AX82" s="928"/>
      <c r="AY82" s="928"/>
      <c r="AZ82" s="928"/>
      <c r="BA82" s="928"/>
      <c r="BB82" s="928"/>
      <c r="BC82" s="928"/>
      <c r="BD82" s="928"/>
      <c r="BE82" s="928"/>
      <c r="BF82" s="1060"/>
    </row>
    <row r="83" spans="37:58" x14ac:dyDescent="0.35">
      <c r="AK83" s="928"/>
      <c r="AL83" s="1060"/>
      <c r="AM83" s="928"/>
      <c r="AN83" s="928"/>
      <c r="AO83" s="928"/>
      <c r="AP83" s="928"/>
      <c r="AQ83" s="928"/>
      <c r="AR83" s="928"/>
      <c r="AS83" s="928"/>
      <c r="AT83" s="928"/>
      <c r="AU83" s="928"/>
      <c r="AV83" s="928"/>
      <c r="AW83" s="928"/>
      <c r="AX83" s="928"/>
      <c r="AY83" s="928"/>
      <c r="AZ83" s="928"/>
      <c r="BA83" s="928"/>
      <c r="BB83" s="928"/>
      <c r="BC83" s="928"/>
      <c r="BD83" s="928"/>
      <c r="BE83" s="928"/>
      <c r="BF83" s="1060"/>
    </row>
    <row r="84" spans="37:58" x14ac:dyDescent="0.35">
      <c r="AK84" s="928"/>
      <c r="AL84" s="1060"/>
      <c r="AM84" s="928"/>
      <c r="AN84" s="928"/>
      <c r="AO84" s="928"/>
      <c r="AP84" s="928"/>
      <c r="AQ84" s="928"/>
      <c r="AR84" s="928"/>
      <c r="AS84" s="928"/>
      <c r="AT84" s="928"/>
      <c r="AU84" s="928"/>
      <c r="AV84" s="928"/>
      <c r="AW84" s="928"/>
      <c r="AX84" s="928"/>
      <c r="AY84" s="928"/>
      <c r="AZ84" s="928"/>
      <c r="BA84" s="928"/>
      <c r="BB84" s="928"/>
      <c r="BC84" s="928"/>
      <c r="BD84" s="928"/>
      <c r="BE84" s="928"/>
      <c r="BF84" s="1060"/>
    </row>
    <row r="85" spans="37:58" x14ac:dyDescent="0.35">
      <c r="AK85" s="928"/>
      <c r="AL85" s="1060"/>
      <c r="AM85" s="928"/>
      <c r="AN85" s="928"/>
      <c r="AO85" s="928"/>
      <c r="AP85" s="928"/>
      <c r="AQ85" s="928"/>
      <c r="AR85" s="928"/>
      <c r="AS85" s="928"/>
      <c r="AT85" s="928"/>
      <c r="AU85" s="928"/>
      <c r="AV85" s="928"/>
      <c r="AW85" s="928"/>
      <c r="AX85" s="928"/>
      <c r="AY85" s="928"/>
      <c r="AZ85" s="928"/>
      <c r="BA85" s="928"/>
      <c r="BB85" s="928"/>
      <c r="BC85" s="928"/>
      <c r="BD85" s="928"/>
      <c r="BE85" s="928"/>
      <c r="BF85" s="1060"/>
    </row>
    <row r="86" spans="37:58" x14ac:dyDescent="0.35">
      <c r="AK86" s="928"/>
      <c r="AL86" s="1060"/>
      <c r="AM86" s="928"/>
      <c r="AN86" s="928"/>
      <c r="AO86" s="928"/>
      <c r="AP86" s="928"/>
      <c r="AQ86" s="928"/>
      <c r="AR86" s="928"/>
      <c r="AS86" s="928"/>
      <c r="AT86" s="928"/>
      <c r="AU86" s="928"/>
      <c r="AV86" s="928"/>
      <c r="AW86" s="928"/>
      <c r="AX86" s="928"/>
      <c r="AY86" s="928"/>
      <c r="AZ86" s="928"/>
      <c r="BA86" s="928"/>
      <c r="BB86" s="928"/>
      <c r="BC86" s="928"/>
      <c r="BD86" s="928"/>
      <c r="BE86" s="928"/>
      <c r="BF86" s="1060"/>
    </row>
  </sheetData>
  <sheetProtection sheet="1" objects="1" scenarios="1"/>
  <mergeCells count="224">
    <mergeCell ref="P11:P12"/>
    <mergeCell ref="F12:N12"/>
    <mergeCell ref="S18:S19"/>
    <mergeCell ref="P14:P15"/>
    <mergeCell ref="S14:S15"/>
    <mergeCell ref="Q22:Q23"/>
    <mergeCell ref="S22:S23"/>
    <mergeCell ref="F15:N15"/>
    <mergeCell ref="B16:B17"/>
    <mergeCell ref="B18:B19"/>
    <mergeCell ref="C18:C19"/>
    <mergeCell ref="D18:D19"/>
    <mergeCell ref="E18:E19"/>
    <mergeCell ref="O18:O19"/>
    <mergeCell ref="P18:P19"/>
    <mergeCell ref="F19:N19"/>
    <mergeCell ref="S20:S21"/>
    <mergeCell ref="R22:R23"/>
    <mergeCell ref="B3:B4"/>
    <mergeCell ref="D3:D4"/>
    <mergeCell ref="E3:E4"/>
    <mergeCell ref="F3:N3"/>
    <mergeCell ref="O3:O4"/>
    <mergeCell ref="B11:B12"/>
    <mergeCell ref="C11:C12"/>
    <mergeCell ref="D11:D12"/>
    <mergeCell ref="E11:E12"/>
    <mergeCell ref="O11:O12"/>
    <mergeCell ref="B9:B10"/>
    <mergeCell ref="C9:C10"/>
    <mergeCell ref="D9:D10"/>
    <mergeCell ref="E9:E10"/>
    <mergeCell ref="O9:O10"/>
    <mergeCell ref="P9:P10"/>
    <mergeCell ref="F10:N10"/>
    <mergeCell ref="AK9:AL9"/>
    <mergeCell ref="AM9:AN9"/>
    <mergeCell ref="AI9:AI10"/>
    <mergeCell ref="AJ9:AJ10"/>
    <mergeCell ref="AC9:AC10"/>
    <mergeCell ref="AD9:AD10"/>
    <mergeCell ref="T9:T10"/>
    <mergeCell ref="Y9:Y10"/>
    <mergeCell ref="Z9:Z10"/>
    <mergeCell ref="AF9:AF10"/>
    <mergeCell ref="T11:T12"/>
    <mergeCell ref="S11:S12"/>
    <mergeCell ref="V11:V12"/>
    <mergeCell ref="Y11:Y12"/>
    <mergeCell ref="Z11:Z12"/>
    <mergeCell ref="AF11:AF12"/>
    <mergeCell ref="V18:V19"/>
    <mergeCell ref="Y18:Y19"/>
    <mergeCell ref="Z18:Z19"/>
    <mergeCell ref="AF18:AF19"/>
    <mergeCell ref="T14:T15"/>
    <mergeCell ref="T16:T17"/>
    <mergeCell ref="T18:T19"/>
    <mergeCell ref="V20:V21"/>
    <mergeCell ref="T20:T21"/>
    <mergeCell ref="Y20:Y21"/>
    <mergeCell ref="Z20:Z21"/>
    <mergeCell ref="B22:B23"/>
    <mergeCell ref="C22:C23"/>
    <mergeCell ref="D22:D23"/>
    <mergeCell ref="E22:E23"/>
    <mergeCell ref="B20:B21"/>
    <mergeCell ref="C20:C21"/>
    <mergeCell ref="D20:D21"/>
    <mergeCell ref="E20:E21"/>
    <mergeCell ref="O20:O21"/>
    <mergeCell ref="P20:P21"/>
    <mergeCell ref="U22:U23"/>
    <mergeCell ref="V22:V23"/>
    <mergeCell ref="W22:W23"/>
    <mergeCell ref="X22:X23"/>
    <mergeCell ref="Y22:Y23"/>
    <mergeCell ref="F22:N22"/>
    <mergeCell ref="O22:O23"/>
    <mergeCell ref="F21:N21"/>
    <mergeCell ref="P22:P23"/>
    <mergeCell ref="Z22:Z23"/>
    <mergeCell ref="T22:T23"/>
    <mergeCell ref="AA22:AA23"/>
    <mergeCell ref="BG22:BG23"/>
    <mergeCell ref="BH22:BH23"/>
    <mergeCell ref="Z14:Z15"/>
    <mergeCell ref="AF14:AF15"/>
    <mergeCell ref="BK14:BK15"/>
    <mergeCell ref="BL14:BL15"/>
    <mergeCell ref="AF16:AF17"/>
    <mergeCell ref="AE22:AE23"/>
    <mergeCell ref="AC22:AC23"/>
    <mergeCell ref="AD22:AD23"/>
    <mergeCell ref="AI14:AI15"/>
    <mergeCell ref="AJ14:AJ15"/>
    <mergeCell ref="AI16:AI17"/>
    <mergeCell ref="AJ16:AJ17"/>
    <mergeCell ref="AI18:AI19"/>
    <mergeCell ref="AJ18:AJ19"/>
    <mergeCell ref="AI20:AI21"/>
    <mergeCell ref="AJ20:AJ21"/>
    <mergeCell ref="AI22:AI23"/>
    <mergeCell ref="AJ22:AJ23"/>
    <mergeCell ref="AF22:AF23"/>
    <mergeCell ref="AH20:AH21"/>
    <mergeCell ref="BK25:BK30"/>
    <mergeCell ref="BL25:BL30"/>
    <mergeCell ref="BK9:BK10"/>
    <mergeCell ref="BL9:BL10"/>
    <mergeCell ref="BK11:BK12"/>
    <mergeCell ref="BL11:BL12"/>
    <mergeCell ref="BK18:BK19"/>
    <mergeCell ref="BL18:BL19"/>
    <mergeCell ref="BK20:BK21"/>
    <mergeCell ref="BL20:BL21"/>
    <mergeCell ref="BK22:BK23"/>
    <mergeCell ref="BL22:BL23"/>
    <mergeCell ref="AF6:AF7"/>
    <mergeCell ref="BK6:BK7"/>
    <mergeCell ref="BL6:BL7"/>
    <mergeCell ref="F7:N7"/>
    <mergeCell ref="AI6:AI7"/>
    <mergeCell ref="C16:C17"/>
    <mergeCell ref="D16:D17"/>
    <mergeCell ref="E16:E17"/>
    <mergeCell ref="O16:O17"/>
    <mergeCell ref="P16:P17"/>
    <mergeCell ref="S16:S17"/>
    <mergeCell ref="V16:V17"/>
    <mergeCell ref="Y16:Y17"/>
    <mergeCell ref="Z16:Z17"/>
    <mergeCell ref="V14:V15"/>
    <mergeCell ref="Y14:Y15"/>
    <mergeCell ref="AK11:AL11"/>
    <mergeCell ref="AM11:AN11"/>
    <mergeCell ref="AI11:AI12"/>
    <mergeCell ref="AJ11:AJ12"/>
    <mergeCell ref="AC11:AC12"/>
    <mergeCell ref="AD11:AD12"/>
    <mergeCell ref="S9:S10"/>
    <mergeCell ref="V9:V10"/>
    <mergeCell ref="AJ6:AJ7"/>
    <mergeCell ref="AB3:AB4"/>
    <mergeCell ref="AC3:AC4"/>
    <mergeCell ref="AD3:AD4"/>
    <mergeCell ref="AC6:AC7"/>
    <mergeCell ref="BK16:BK17"/>
    <mergeCell ref="BL16:BL17"/>
    <mergeCell ref="F17:N17"/>
    <mergeCell ref="B14:B15"/>
    <mergeCell ref="C14:C15"/>
    <mergeCell ref="D14:D15"/>
    <mergeCell ref="E14:E15"/>
    <mergeCell ref="O14:O15"/>
    <mergeCell ref="B6:B7"/>
    <mergeCell ref="C6:C7"/>
    <mergeCell ref="D6:D7"/>
    <mergeCell ref="E6:E7"/>
    <mergeCell ref="O6:O7"/>
    <mergeCell ref="P6:P7"/>
    <mergeCell ref="S6:S7"/>
    <mergeCell ref="V6:V7"/>
    <mergeCell ref="Y6:Y7"/>
    <mergeCell ref="T6:T7"/>
    <mergeCell ref="Z6:Z7"/>
    <mergeCell ref="Q3:Q4"/>
    <mergeCell ref="S3:S4"/>
    <mergeCell ref="U3:U4"/>
    <mergeCell ref="V3:V4"/>
    <mergeCell ref="W3:W4"/>
    <mergeCell ref="X3:X4"/>
    <mergeCell ref="BG3:BG4"/>
    <mergeCell ref="T3:T4"/>
    <mergeCell ref="AI3:AI4"/>
    <mergeCell ref="R3:R4"/>
    <mergeCell ref="F29:N29"/>
    <mergeCell ref="A6:A7"/>
    <mergeCell ref="A9:A10"/>
    <mergeCell ref="A11:A12"/>
    <mergeCell ref="A14:A15"/>
    <mergeCell ref="A16:A17"/>
    <mergeCell ref="A18:A19"/>
    <mergeCell ref="A20:A21"/>
    <mergeCell ref="AG6:AG7"/>
    <mergeCell ref="AG9:AG10"/>
    <mergeCell ref="AG11:AG12"/>
    <mergeCell ref="AG14:AG15"/>
    <mergeCell ref="AG16:AG17"/>
    <mergeCell ref="AG18:AG19"/>
    <mergeCell ref="AG20:AG21"/>
    <mergeCell ref="AC14:AC15"/>
    <mergeCell ref="AD14:AD15"/>
    <mergeCell ref="AC16:AC17"/>
    <mergeCell ref="AD16:AD17"/>
    <mergeCell ref="AC18:AC19"/>
    <mergeCell ref="AD18:AD19"/>
    <mergeCell ref="AC20:AC21"/>
    <mergeCell ref="AD20:AD21"/>
    <mergeCell ref="AB22:AB23"/>
    <mergeCell ref="BI6:BI7"/>
    <mergeCell ref="BI9:BI10"/>
    <mergeCell ref="BI11:BI12"/>
    <mergeCell ref="BI14:BI15"/>
    <mergeCell ref="BI16:BI17"/>
    <mergeCell ref="BI18:BI19"/>
    <mergeCell ref="BI20:BI21"/>
    <mergeCell ref="B1:AF1"/>
    <mergeCell ref="AI1:BH1"/>
    <mergeCell ref="F2:N2"/>
    <mergeCell ref="AH6:AH7"/>
    <mergeCell ref="AH9:AH10"/>
    <mergeCell ref="AH11:AH12"/>
    <mergeCell ref="AH14:AH15"/>
    <mergeCell ref="AH16:AH17"/>
    <mergeCell ref="AH18:AH19"/>
    <mergeCell ref="AD6:AD7"/>
    <mergeCell ref="BH3:BH4"/>
    <mergeCell ref="AE3:AE4"/>
    <mergeCell ref="AF3:AF4"/>
    <mergeCell ref="Y3:Y4"/>
    <mergeCell ref="Z3:Z4"/>
    <mergeCell ref="AA3:AA4"/>
    <mergeCell ref="P3:P4"/>
  </mergeCells>
  <conditionalFormatting sqref="E9 E11 E18 E20">
    <cfRule type="containsText" dxfId="311" priority="24" operator="containsText" text="Critical">
      <formula>NOT(ISERROR(SEARCH("Critical",E9)))</formula>
    </cfRule>
    <cfRule type="containsText" dxfId="310" priority="25" operator="containsText" text="Essential">
      <formula>NOT(ISERROR(SEARCH("Essential",E9)))</formula>
    </cfRule>
    <cfRule type="containsText" dxfId="309" priority="26" operator="containsText" text="Desirable">
      <formula>NOT(ISERROR(SEARCH("Desirable",E9)))</formula>
    </cfRule>
  </conditionalFormatting>
  <conditionalFormatting sqref="E9">
    <cfRule type="containsText" dxfId="308" priority="23" operator="containsText" text="Required">
      <formula>NOT(ISERROR(SEARCH("Required",E9)))</formula>
    </cfRule>
  </conditionalFormatting>
  <conditionalFormatting sqref="E11 E18 E20">
    <cfRule type="containsText" dxfId="307" priority="22" operator="containsText" text="Required">
      <formula>NOT(ISERROR(SEARCH("Required",E11)))</formula>
    </cfRule>
  </conditionalFormatting>
  <conditionalFormatting sqref="E14 E16">
    <cfRule type="containsText" dxfId="306" priority="19" operator="containsText" text="Critical">
      <formula>NOT(ISERROR(SEARCH("Critical",E14)))</formula>
    </cfRule>
    <cfRule type="containsText" dxfId="305" priority="20" operator="containsText" text="Essential">
      <formula>NOT(ISERROR(SEARCH("Essential",E14)))</formula>
    </cfRule>
    <cfRule type="containsText" dxfId="304" priority="21" operator="containsText" text="Desirable">
      <formula>NOT(ISERROR(SEARCH("Desirable",E14)))</formula>
    </cfRule>
  </conditionalFormatting>
  <conditionalFormatting sqref="E14">
    <cfRule type="containsText" dxfId="303" priority="18" operator="containsText" text="Required">
      <formula>NOT(ISERROR(SEARCH("Required",E14)))</formula>
    </cfRule>
  </conditionalFormatting>
  <conditionalFormatting sqref="E16">
    <cfRule type="containsText" dxfId="302" priority="17" operator="containsText" text="Required">
      <formula>NOT(ISERROR(SEARCH("Required",E16)))</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colBreaks count="1" manualBreakCount="1">
    <brk id="33" max="2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DJ111"/>
  <sheetViews>
    <sheetView showGridLines="0" zoomScaleNormal="100" workbookViewId="0">
      <pane xSplit="3" ySplit="1" topLeftCell="D47" activePane="bottomRight" state="frozen"/>
      <selection pane="topRight" activeCell="U1" sqref="U1:X1048576"/>
      <selection pane="bottomLeft" activeCell="U1" sqref="U1:X1048576"/>
      <selection pane="bottomRight" activeCell="L13" sqref="L13"/>
    </sheetView>
  </sheetViews>
  <sheetFormatPr defaultColWidth="8.90625" defaultRowHeight="14" outlineLevelCol="1" x14ac:dyDescent="0.3"/>
  <cols>
    <col min="1" max="1" width="8.90625" style="356" customWidth="1"/>
    <col min="2" max="2" width="8.90625" style="397" customWidth="1"/>
    <col min="3" max="3" width="44.453125" style="356" customWidth="1"/>
    <col min="4" max="4" width="11.08984375" style="356" customWidth="1"/>
    <col min="5" max="6" width="22.08984375" style="356" customWidth="1"/>
    <col min="7" max="7" width="16.90625" style="356" customWidth="1"/>
    <col min="8" max="8" width="33.08984375" style="356" customWidth="1"/>
    <col min="9" max="11" width="16.90625" style="356" customWidth="1"/>
    <col min="12" max="12" width="33.08984375" style="356" customWidth="1"/>
    <col min="13" max="13" width="16.90625" style="356" customWidth="1"/>
    <col min="14" max="14" width="11.08984375" style="356" customWidth="1"/>
    <col min="15" max="20" width="7.90625" style="356" customWidth="1"/>
    <col min="21" max="26" width="7.90625" style="356" hidden="1" customWidth="1" outlineLevel="1"/>
    <col min="27" max="27" width="55.54296875" style="356" customWidth="1" collapsed="1"/>
    <col min="28" max="28" width="22" style="356" hidden="1" customWidth="1" outlineLevel="1"/>
    <col min="29" max="29" width="33.08984375" style="356" hidden="1" customWidth="1" outlineLevel="1"/>
    <col min="30" max="30" width="12.08984375" style="356" hidden="1" customWidth="1" outlineLevel="1"/>
    <col min="31" max="31" width="33.08984375" style="356" hidden="1" customWidth="1" outlineLevel="1"/>
    <col min="32" max="32" width="11.08984375" style="356" customWidth="1" collapsed="1"/>
    <col min="33" max="33" width="20" style="356" customWidth="1"/>
    <col min="34" max="61" width="16.90625" style="356" customWidth="1"/>
    <col min="62" max="65" width="15.453125" style="356" customWidth="1"/>
    <col min="66" max="113" width="16.90625" style="356" hidden="1" customWidth="1" outlineLevel="1"/>
    <col min="114" max="114" width="15.453125" style="356" customWidth="1" collapsed="1"/>
    <col min="115" max="131" width="15.453125" style="356" customWidth="1"/>
    <col min="132" max="16384" width="8.90625" style="356"/>
  </cols>
  <sheetData>
    <row r="1" spans="1:113" s="348" customFormat="1" ht="84" customHeight="1" x14ac:dyDescent="0.3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06"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287"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s="348" customFormat="1" x14ac:dyDescent="0.35">
      <c r="A2" s="411" t="s">
        <v>1448</v>
      </c>
      <c r="B2" s="37"/>
      <c r="C2" s="38"/>
      <c r="D2" s="38"/>
      <c r="E2" s="38"/>
      <c r="F2" s="39"/>
      <c r="G2" s="40"/>
      <c r="H2" s="40"/>
      <c r="I2" s="40"/>
      <c r="J2" s="40"/>
      <c r="K2" s="40"/>
      <c r="L2" s="40"/>
      <c r="M2" s="412"/>
      <c r="N2" s="168"/>
      <c r="O2" s="38"/>
      <c r="P2" s="38"/>
      <c r="Q2" s="38"/>
      <c r="R2" s="38"/>
      <c r="S2" s="38"/>
      <c r="T2" s="38"/>
      <c r="U2" s="38"/>
      <c r="V2" s="38"/>
      <c r="W2" s="38"/>
      <c r="X2" s="38"/>
      <c r="Y2" s="38"/>
      <c r="Z2" s="38"/>
      <c r="AA2" s="39"/>
      <c r="AB2" s="60"/>
      <c r="AC2" s="37"/>
      <c r="AD2" s="37"/>
      <c r="AE2" s="37"/>
      <c r="AF2" s="36"/>
      <c r="AG2" s="172"/>
      <c r="AH2" s="174"/>
      <c r="AI2" s="133"/>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N2" s="220" t="s">
        <v>203</v>
      </c>
      <c r="BO2" s="220" t="s">
        <v>204</v>
      </c>
      <c r="BP2" s="220" t="s">
        <v>205</v>
      </c>
      <c r="BQ2" s="220" t="s">
        <v>206</v>
      </c>
      <c r="BR2" s="220" t="s">
        <v>207</v>
      </c>
      <c r="BS2" s="220" t="s">
        <v>208</v>
      </c>
      <c r="BT2" s="220" t="s">
        <v>203</v>
      </c>
      <c r="BU2" s="220" t="s">
        <v>204</v>
      </c>
      <c r="BV2" s="220" t="s">
        <v>205</v>
      </c>
      <c r="BW2" s="220" t="s">
        <v>206</v>
      </c>
      <c r="BX2" s="220" t="s">
        <v>207</v>
      </c>
      <c r="BY2" s="220" t="s">
        <v>208</v>
      </c>
      <c r="BZ2" s="220" t="s">
        <v>203</v>
      </c>
      <c r="CA2" s="220" t="s">
        <v>204</v>
      </c>
      <c r="CB2" s="220" t="s">
        <v>205</v>
      </c>
      <c r="CC2" s="220" t="s">
        <v>206</v>
      </c>
      <c r="CD2" s="220" t="s">
        <v>207</v>
      </c>
      <c r="CE2" s="220" t="s">
        <v>208</v>
      </c>
      <c r="CF2" s="220" t="s">
        <v>203</v>
      </c>
      <c r="CG2" s="220" t="s">
        <v>204</v>
      </c>
      <c r="CH2" s="220" t="s">
        <v>205</v>
      </c>
      <c r="CI2" s="220" t="s">
        <v>206</v>
      </c>
      <c r="CJ2" s="220" t="s">
        <v>207</v>
      </c>
      <c r="CK2" s="220" t="s">
        <v>208</v>
      </c>
      <c r="CL2" s="220" t="s">
        <v>203</v>
      </c>
      <c r="CM2" s="220" t="s">
        <v>204</v>
      </c>
      <c r="CN2" s="220" t="s">
        <v>205</v>
      </c>
      <c r="CO2" s="220" t="s">
        <v>206</v>
      </c>
      <c r="CP2" s="220" t="s">
        <v>207</v>
      </c>
      <c r="CQ2" s="220" t="s">
        <v>208</v>
      </c>
      <c r="CR2" s="220" t="s">
        <v>203</v>
      </c>
      <c r="CS2" s="220" t="s">
        <v>204</v>
      </c>
      <c r="CT2" s="220" t="s">
        <v>205</v>
      </c>
      <c r="CU2" s="220" t="s">
        <v>206</v>
      </c>
      <c r="CV2" s="220" t="s">
        <v>207</v>
      </c>
      <c r="CW2" s="220" t="s">
        <v>208</v>
      </c>
      <c r="CX2" s="220" t="s">
        <v>203</v>
      </c>
      <c r="CY2" s="220" t="s">
        <v>204</v>
      </c>
      <c r="CZ2" s="220" t="s">
        <v>205</v>
      </c>
      <c r="DA2" s="220" t="s">
        <v>206</v>
      </c>
      <c r="DB2" s="220" t="s">
        <v>207</v>
      </c>
      <c r="DC2" s="220" t="s">
        <v>208</v>
      </c>
      <c r="DD2" s="220" t="s">
        <v>203</v>
      </c>
      <c r="DE2" s="220" t="s">
        <v>204</v>
      </c>
      <c r="DF2" s="220" t="s">
        <v>205</v>
      </c>
      <c r="DG2" s="220" t="s">
        <v>206</v>
      </c>
      <c r="DH2" s="220" t="s">
        <v>207</v>
      </c>
      <c r="DI2" s="220" t="s">
        <v>208</v>
      </c>
    </row>
    <row r="3" spans="1:113" ht="28" x14ac:dyDescent="0.3">
      <c r="A3" s="55" t="s">
        <v>1449</v>
      </c>
      <c r="B3" s="139" t="s">
        <v>1450</v>
      </c>
      <c r="C3" s="11" t="s">
        <v>1451</v>
      </c>
      <c r="D3" s="265" t="s">
        <v>297</v>
      </c>
      <c r="E3" s="11" t="s">
        <v>1452</v>
      </c>
      <c r="F3" s="134" t="s">
        <v>299</v>
      </c>
      <c r="G3" s="175">
        <f>'[1]Costs (Arup)'!C59*1.05</f>
        <v>147000</v>
      </c>
      <c r="H3" s="114" t="s">
        <v>871</v>
      </c>
      <c r="I3" s="59">
        <v>0</v>
      </c>
      <c r="J3" s="59">
        <f t="shared" ref="J3:J46" si="0">G3-I3</f>
        <v>147000</v>
      </c>
      <c r="K3" s="126">
        <f>J3</f>
        <v>147000</v>
      </c>
      <c r="L3" s="126" t="s">
        <v>1453</v>
      </c>
      <c r="M3" s="413">
        <f>J3-K3</f>
        <v>0</v>
      </c>
      <c r="N3" s="100" t="s">
        <v>265</v>
      </c>
      <c r="O3" s="26"/>
      <c r="P3" s="98"/>
      <c r="Q3" s="98"/>
      <c r="R3" s="26"/>
      <c r="S3" s="26"/>
      <c r="T3" s="170"/>
      <c r="U3" s="243">
        <f>[1]Phasing!D22</f>
        <v>0</v>
      </c>
      <c r="V3" s="242">
        <f>[1]Phasing!E22</f>
        <v>0.33333333333333331</v>
      </c>
      <c r="W3" s="242">
        <f>[1]Phasing!F22</f>
        <v>0.66666666666666663</v>
      </c>
      <c r="X3" s="243">
        <f>[1]Phasing!G22</f>
        <v>0</v>
      </c>
      <c r="Y3" s="243">
        <f>[1]Phasing!H22</f>
        <v>0</v>
      </c>
      <c r="Z3" s="244">
        <f>[1]Phasing!I22</f>
        <v>0</v>
      </c>
      <c r="AA3" s="131"/>
      <c r="AB3" s="131" t="s">
        <v>239</v>
      </c>
      <c r="AC3" s="11" t="s">
        <v>1454</v>
      </c>
      <c r="AD3" s="274" t="s">
        <v>241</v>
      </c>
      <c r="AE3" s="11"/>
      <c r="AF3" s="97" t="s">
        <v>242</v>
      </c>
      <c r="AG3" s="94" t="s">
        <v>252</v>
      </c>
      <c r="AH3" s="79">
        <f>K3</f>
        <v>147000</v>
      </c>
      <c r="AI3" s="132"/>
      <c r="AJ3" s="8"/>
      <c r="AK3" s="8"/>
      <c r="AL3" s="8"/>
      <c r="AM3" s="8"/>
      <c r="AN3" s="8"/>
      <c r="AO3" s="8"/>
      <c r="AP3" s="8"/>
      <c r="AQ3" s="8"/>
      <c r="AR3" s="8"/>
      <c r="AS3" s="8"/>
      <c r="AT3" s="8"/>
      <c r="AU3" s="8"/>
      <c r="AV3" s="8"/>
      <c r="AW3" s="8"/>
      <c r="AX3" s="8"/>
      <c r="AY3" s="8"/>
      <c r="AZ3" s="8"/>
      <c r="BA3" s="8"/>
      <c r="BB3" s="8"/>
      <c r="BC3" s="8"/>
      <c r="BD3" s="8"/>
      <c r="BE3" s="8"/>
      <c r="BF3" s="8"/>
      <c r="BG3" s="8"/>
      <c r="BH3" s="8"/>
      <c r="BI3" s="8"/>
      <c r="BJ3" s="8"/>
      <c r="BK3" s="288" t="b">
        <f t="shared" ref="BK3:BK49" si="1">K3=SUM(AH3:BJ3)</f>
        <v>1</v>
      </c>
      <c r="BN3" s="360">
        <f t="shared" ref="BN3:BN9" si="2">$U3*AH3</f>
        <v>0</v>
      </c>
      <c r="BO3" s="360">
        <f t="shared" ref="BO3:BO9" si="3">$V3*AH3</f>
        <v>49000</v>
      </c>
      <c r="BP3" s="360">
        <f t="shared" ref="BP3:BP9" si="4">$W3*AH3</f>
        <v>98000</v>
      </c>
      <c r="BQ3" s="360">
        <f t="shared" ref="BQ3:BQ9" si="5">$X3*AH3</f>
        <v>0</v>
      </c>
      <c r="BR3" s="360">
        <f t="shared" ref="BR3:BR9" si="6">$Y3*AH3</f>
        <v>0</v>
      </c>
      <c r="BS3" s="360">
        <f t="shared" ref="BS3:BS9" si="7">$Z3*AH3</f>
        <v>0</v>
      </c>
      <c r="BT3" s="360">
        <f t="shared" ref="BT3:BT9" si="8">$U3*AI3</f>
        <v>0</v>
      </c>
      <c r="BU3" s="360">
        <f t="shared" ref="BU3:BU9" si="9">$V3*AI3</f>
        <v>0</v>
      </c>
      <c r="BV3" s="360">
        <f t="shared" ref="BV3:BV9" si="10">$W3*AI3</f>
        <v>0</v>
      </c>
      <c r="BW3" s="360">
        <f t="shared" ref="BW3:BW9" si="11">$X3*AI3</f>
        <v>0</v>
      </c>
      <c r="BX3" s="360">
        <f t="shared" ref="BX3:BX9" si="12">$Y3*AI3</f>
        <v>0</v>
      </c>
      <c r="BY3" s="360">
        <f t="shared" ref="BY3:BY9" si="13">$Z3*AI3</f>
        <v>0</v>
      </c>
      <c r="BZ3" s="360">
        <f t="shared" ref="BZ3:BZ9" si="14">$U3*AJ3</f>
        <v>0</v>
      </c>
      <c r="CA3" s="360">
        <f t="shared" ref="CA3:CA9" si="15">$V3*AJ3</f>
        <v>0</v>
      </c>
      <c r="CB3" s="360">
        <f t="shared" ref="CB3:CB9" si="16">$W3*AJ3</f>
        <v>0</v>
      </c>
      <c r="CC3" s="360">
        <f t="shared" ref="CC3:CC9" si="17">$X3*AJ3</f>
        <v>0</v>
      </c>
      <c r="CD3" s="360">
        <f t="shared" ref="CD3:CD9" si="18">$Y3*AJ3</f>
        <v>0</v>
      </c>
      <c r="CE3" s="360">
        <f t="shared" ref="CE3:CE9" si="19">$Z3*AJ3</f>
        <v>0</v>
      </c>
      <c r="CF3" s="360">
        <f t="shared" ref="CF3:CF9" si="20">$U3*AK3</f>
        <v>0</v>
      </c>
      <c r="CG3" s="360">
        <f t="shared" ref="CG3:CG9" si="21">$V3*AK3</f>
        <v>0</v>
      </c>
      <c r="CH3" s="360">
        <f t="shared" ref="CH3:CH9" si="22">$W3*AK3</f>
        <v>0</v>
      </c>
      <c r="CI3" s="360">
        <f t="shared" ref="CI3:CI9" si="23">$X3*AK3</f>
        <v>0</v>
      </c>
      <c r="CJ3" s="360">
        <f t="shared" ref="CJ3:CJ9" si="24">$Y3*AK3</f>
        <v>0</v>
      </c>
      <c r="CK3" s="360">
        <f t="shared" ref="CK3:CK9" si="25">$Z3*AK3</f>
        <v>0</v>
      </c>
      <c r="CL3" s="360">
        <f t="shared" ref="CL3:CL9" si="26">$U3*AL3</f>
        <v>0</v>
      </c>
      <c r="CM3" s="360">
        <f t="shared" ref="CM3:CM9" si="27">$V3*AL3</f>
        <v>0</v>
      </c>
      <c r="CN3" s="360">
        <f t="shared" ref="CN3:CN9" si="28">$W3*AL3</f>
        <v>0</v>
      </c>
      <c r="CO3" s="360">
        <f t="shared" ref="CO3:CO9" si="29">$X3*AL3</f>
        <v>0</v>
      </c>
      <c r="CP3" s="360">
        <f t="shared" ref="CP3:CP9" si="30">$Y3*AL3</f>
        <v>0</v>
      </c>
      <c r="CQ3" s="360">
        <f t="shared" ref="CQ3:CQ9" si="31">$Z3*AL3</f>
        <v>0</v>
      </c>
      <c r="CR3" s="360">
        <f t="shared" ref="CR3:CR9" si="32">$U3*AM3</f>
        <v>0</v>
      </c>
      <c r="CS3" s="360">
        <f t="shared" ref="CS3:CS9" si="33">$V3*AM3</f>
        <v>0</v>
      </c>
      <c r="CT3" s="360">
        <f t="shared" ref="CT3:CT9" si="34">$W3*AM3</f>
        <v>0</v>
      </c>
      <c r="CU3" s="360">
        <f t="shared" ref="CU3:CU9" si="35">$X3*AM3</f>
        <v>0</v>
      </c>
      <c r="CV3" s="360">
        <f t="shared" ref="CV3:CV9" si="36">$Y3*AM3</f>
        <v>0</v>
      </c>
      <c r="CW3" s="360">
        <f t="shared" ref="CW3:CW9" si="37">$Z3*AM3</f>
        <v>0</v>
      </c>
      <c r="CX3" s="360">
        <f t="shared" ref="CX3:CX9" si="38">$U3*AN3</f>
        <v>0</v>
      </c>
      <c r="CY3" s="360">
        <f t="shared" ref="CY3:CY9" si="39">$V3*AN3</f>
        <v>0</v>
      </c>
      <c r="CZ3" s="360">
        <f t="shared" ref="CZ3:CZ9" si="40">$W3*AN3</f>
        <v>0</v>
      </c>
      <c r="DA3" s="360">
        <f t="shared" ref="DA3:DA9" si="41">$X3*AN3</f>
        <v>0</v>
      </c>
      <c r="DB3" s="360">
        <f t="shared" ref="DB3:DB9" si="42">$Y3*AN3</f>
        <v>0</v>
      </c>
      <c r="DC3" s="360">
        <f t="shared" ref="DC3:DC9" si="43">$Z3*AN3</f>
        <v>0</v>
      </c>
      <c r="DD3" s="360">
        <f t="shared" ref="DD3:DD9" si="44">$U3*AO3</f>
        <v>0</v>
      </c>
      <c r="DE3" s="360">
        <f t="shared" ref="DE3:DE9" si="45">$V3*AO3</f>
        <v>0</v>
      </c>
      <c r="DF3" s="360">
        <f t="shared" ref="DF3:DF9" si="46">$W3*AO3</f>
        <v>0</v>
      </c>
      <c r="DG3" s="360">
        <f t="shared" ref="DG3:DG9" si="47">$X3*AO3</f>
        <v>0</v>
      </c>
      <c r="DH3" s="360">
        <f t="shared" ref="DH3:DH9" si="48">$Y3*AO3</f>
        <v>0</v>
      </c>
      <c r="DI3" s="360">
        <f t="shared" ref="DI3:DI9" si="49">$Z3*AO3</f>
        <v>0</v>
      </c>
    </row>
    <row r="4" spans="1:113" ht="56" x14ac:dyDescent="0.3">
      <c r="A4" s="55" t="s">
        <v>1455</v>
      </c>
      <c r="B4" s="139" t="s">
        <v>1456</v>
      </c>
      <c r="C4" s="11" t="s">
        <v>1457</v>
      </c>
      <c r="D4" s="265" t="s">
        <v>297</v>
      </c>
      <c r="E4" s="11" t="s">
        <v>1458</v>
      </c>
      <c r="F4" s="134" t="s">
        <v>299</v>
      </c>
      <c r="G4" s="175">
        <f>'[1]Costs (Arup)'!C59*12.45</f>
        <v>1743000</v>
      </c>
      <c r="H4" s="114" t="s">
        <v>871</v>
      </c>
      <c r="I4" s="59">
        <v>0</v>
      </c>
      <c r="J4" s="59">
        <f t="shared" si="0"/>
        <v>1743000</v>
      </c>
      <c r="K4" s="126">
        <f t="shared" ref="K4:K42" si="50">J4</f>
        <v>1743000</v>
      </c>
      <c r="L4" s="126" t="s">
        <v>1453</v>
      </c>
      <c r="M4" s="413">
        <f t="shared" ref="M4:M48" si="51">J4-K4</f>
        <v>0</v>
      </c>
      <c r="N4" s="100" t="s">
        <v>1459</v>
      </c>
      <c r="O4" s="98"/>
      <c r="P4" s="98"/>
      <c r="Q4" s="98"/>
      <c r="R4" s="26"/>
      <c r="S4" s="26"/>
      <c r="T4" s="170"/>
      <c r="U4" s="242">
        <f>[1]Phasing!D23</f>
        <v>0.28846153846153844</v>
      </c>
      <c r="V4" s="242">
        <f>[1]Phasing!E23</f>
        <v>0.44230769230769229</v>
      </c>
      <c r="W4" s="242">
        <f>[1]Phasing!F23</f>
        <v>0.26923076923076922</v>
      </c>
      <c r="X4" s="243">
        <f>[1]Phasing!G23</f>
        <v>0</v>
      </c>
      <c r="Y4" s="243">
        <f>[1]Phasing!H23</f>
        <v>0</v>
      </c>
      <c r="Z4" s="244">
        <f>[1]Phasing!I23</f>
        <v>0</v>
      </c>
      <c r="AA4" s="131" t="s">
        <v>1460</v>
      </c>
      <c r="AB4" s="131" t="s">
        <v>1461</v>
      </c>
      <c r="AC4" s="11" t="s">
        <v>1462</v>
      </c>
      <c r="AD4" s="274" t="s">
        <v>241</v>
      </c>
      <c r="AE4" s="11"/>
      <c r="AF4" s="97" t="s">
        <v>242</v>
      </c>
      <c r="AG4" s="94" t="s">
        <v>252</v>
      </c>
      <c r="AH4" s="176"/>
      <c r="AI4" s="79">
        <f>K4</f>
        <v>1743000</v>
      </c>
      <c r="AJ4" s="8"/>
      <c r="AK4" s="8"/>
      <c r="AL4" s="8"/>
      <c r="AM4" s="8"/>
      <c r="AN4" s="8"/>
      <c r="AO4" s="8"/>
      <c r="AP4" s="8"/>
      <c r="AQ4" s="8"/>
      <c r="AR4" s="8"/>
      <c r="AS4" s="8"/>
      <c r="AT4" s="8"/>
      <c r="AU4" s="8"/>
      <c r="AV4" s="8"/>
      <c r="AW4" s="8"/>
      <c r="AX4" s="8"/>
      <c r="AY4" s="8"/>
      <c r="AZ4" s="8"/>
      <c r="BA4" s="8"/>
      <c r="BB4" s="8"/>
      <c r="BC4" s="8"/>
      <c r="BD4" s="8"/>
      <c r="BE4" s="8"/>
      <c r="BF4" s="8"/>
      <c r="BG4" s="8"/>
      <c r="BH4" s="8"/>
      <c r="BI4" s="8"/>
      <c r="BJ4" s="8"/>
      <c r="BK4" s="288" t="b">
        <f t="shared" si="1"/>
        <v>1</v>
      </c>
      <c r="BN4" s="360">
        <f t="shared" si="2"/>
        <v>0</v>
      </c>
      <c r="BO4" s="360">
        <f t="shared" si="3"/>
        <v>0</v>
      </c>
      <c r="BP4" s="360">
        <f t="shared" si="4"/>
        <v>0</v>
      </c>
      <c r="BQ4" s="360">
        <f t="shared" si="5"/>
        <v>0</v>
      </c>
      <c r="BR4" s="360">
        <f t="shared" si="6"/>
        <v>0</v>
      </c>
      <c r="BS4" s="360">
        <f t="shared" si="7"/>
        <v>0</v>
      </c>
      <c r="BT4" s="360">
        <f t="shared" si="8"/>
        <v>502788.4615384615</v>
      </c>
      <c r="BU4" s="360">
        <f t="shared" si="9"/>
        <v>770942.30769230763</v>
      </c>
      <c r="BV4" s="360">
        <f t="shared" si="10"/>
        <v>469269.23076923075</v>
      </c>
      <c r="BW4" s="360">
        <f t="shared" si="11"/>
        <v>0</v>
      </c>
      <c r="BX4" s="360">
        <f t="shared" si="12"/>
        <v>0</v>
      </c>
      <c r="BY4" s="360">
        <f t="shared" si="13"/>
        <v>0</v>
      </c>
      <c r="BZ4" s="360">
        <f t="shared" si="14"/>
        <v>0</v>
      </c>
      <c r="CA4" s="360">
        <f t="shared" si="15"/>
        <v>0</v>
      </c>
      <c r="CB4" s="360">
        <f t="shared" si="16"/>
        <v>0</v>
      </c>
      <c r="CC4" s="360">
        <f t="shared" si="17"/>
        <v>0</v>
      </c>
      <c r="CD4" s="360">
        <f t="shared" si="18"/>
        <v>0</v>
      </c>
      <c r="CE4" s="360">
        <f t="shared" si="19"/>
        <v>0</v>
      </c>
      <c r="CF4" s="360">
        <f t="shared" si="20"/>
        <v>0</v>
      </c>
      <c r="CG4" s="360">
        <f t="shared" si="21"/>
        <v>0</v>
      </c>
      <c r="CH4" s="360">
        <f t="shared" si="22"/>
        <v>0</v>
      </c>
      <c r="CI4" s="360">
        <f t="shared" si="23"/>
        <v>0</v>
      </c>
      <c r="CJ4" s="360">
        <f t="shared" si="24"/>
        <v>0</v>
      </c>
      <c r="CK4" s="360">
        <f t="shared" si="25"/>
        <v>0</v>
      </c>
      <c r="CL4" s="360">
        <f t="shared" si="26"/>
        <v>0</v>
      </c>
      <c r="CM4" s="360">
        <f t="shared" si="27"/>
        <v>0</v>
      </c>
      <c r="CN4" s="360">
        <f t="shared" si="28"/>
        <v>0</v>
      </c>
      <c r="CO4" s="360">
        <f t="shared" si="29"/>
        <v>0</v>
      </c>
      <c r="CP4" s="360">
        <f t="shared" si="30"/>
        <v>0</v>
      </c>
      <c r="CQ4" s="360">
        <f t="shared" si="31"/>
        <v>0</v>
      </c>
      <c r="CR4" s="360">
        <f t="shared" si="32"/>
        <v>0</v>
      </c>
      <c r="CS4" s="360">
        <f t="shared" si="33"/>
        <v>0</v>
      </c>
      <c r="CT4" s="360">
        <f t="shared" si="34"/>
        <v>0</v>
      </c>
      <c r="CU4" s="360">
        <f t="shared" si="35"/>
        <v>0</v>
      </c>
      <c r="CV4" s="360">
        <f t="shared" si="36"/>
        <v>0</v>
      </c>
      <c r="CW4" s="360">
        <f t="shared" si="37"/>
        <v>0</v>
      </c>
      <c r="CX4" s="360">
        <f t="shared" si="38"/>
        <v>0</v>
      </c>
      <c r="CY4" s="360">
        <f t="shared" si="39"/>
        <v>0</v>
      </c>
      <c r="CZ4" s="360">
        <f t="shared" si="40"/>
        <v>0</v>
      </c>
      <c r="DA4" s="360">
        <f t="shared" si="41"/>
        <v>0</v>
      </c>
      <c r="DB4" s="360">
        <f t="shared" si="42"/>
        <v>0</v>
      </c>
      <c r="DC4" s="360">
        <f t="shared" si="43"/>
        <v>0</v>
      </c>
      <c r="DD4" s="360">
        <f t="shared" si="44"/>
        <v>0</v>
      </c>
      <c r="DE4" s="360">
        <f t="shared" si="45"/>
        <v>0</v>
      </c>
      <c r="DF4" s="360">
        <f t="shared" si="46"/>
        <v>0</v>
      </c>
      <c r="DG4" s="360">
        <f t="shared" si="47"/>
        <v>0</v>
      </c>
      <c r="DH4" s="360">
        <f t="shared" si="48"/>
        <v>0</v>
      </c>
      <c r="DI4" s="360">
        <f t="shared" si="49"/>
        <v>0</v>
      </c>
    </row>
    <row r="5" spans="1:113" ht="28" x14ac:dyDescent="0.3">
      <c r="A5" s="55" t="s">
        <v>1463</v>
      </c>
      <c r="B5" s="139" t="s">
        <v>1464</v>
      </c>
      <c r="C5" s="11" t="s">
        <v>1465</v>
      </c>
      <c r="D5" s="265" t="s">
        <v>297</v>
      </c>
      <c r="E5" s="11" t="s">
        <v>1452</v>
      </c>
      <c r="F5" s="134" t="s">
        <v>299</v>
      </c>
      <c r="G5" s="175">
        <f>'[1]Costs (Arup)'!C59*1.48</f>
        <v>207200</v>
      </c>
      <c r="H5" s="114" t="s">
        <v>871</v>
      </c>
      <c r="I5" s="59">
        <v>0</v>
      </c>
      <c r="J5" s="59">
        <f t="shared" si="0"/>
        <v>207200</v>
      </c>
      <c r="K5" s="126">
        <f t="shared" si="50"/>
        <v>207200</v>
      </c>
      <c r="L5" s="126" t="s">
        <v>1453</v>
      </c>
      <c r="M5" s="413">
        <f t="shared" si="51"/>
        <v>0</v>
      </c>
      <c r="N5" s="100" t="s">
        <v>402</v>
      </c>
      <c r="O5" s="98"/>
      <c r="P5" s="98"/>
      <c r="Q5" s="98"/>
      <c r="R5" s="26"/>
      <c r="S5" s="26"/>
      <c r="T5" s="170"/>
      <c r="U5" s="242">
        <f>[1]Phasing!D24</f>
        <v>4.7619047619047616E-2</v>
      </c>
      <c r="V5" s="242">
        <f>[1]Phasing!E24</f>
        <v>0.47619047619047616</v>
      </c>
      <c r="W5" s="242">
        <f>[1]Phasing!F24</f>
        <v>0.47619047619047616</v>
      </c>
      <c r="X5" s="243">
        <f>[1]Phasing!G24</f>
        <v>0</v>
      </c>
      <c r="Y5" s="243">
        <f>[1]Phasing!H24</f>
        <v>0</v>
      </c>
      <c r="Z5" s="244">
        <f>[1]Phasing!I24</f>
        <v>0</v>
      </c>
      <c r="AA5" s="131"/>
      <c r="AB5" s="131" t="s">
        <v>239</v>
      </c>
      <c r="AC5" s="11" t="s">
        <v>1454</v>
      </c>
      <c r="AD5" s="274" t="s">
        <v>241</v>
      </c>
      <c r="AE5" s="11"/>
      <c r="AF5" s="97" t="s">
        <v>242</v>
      </c>
      <c r="AG5" s="94" t="s">
        <v>252</v>
      </c>
      <c r="AH5" s="176"/>
      <c r="AI5" s="8"/>
      <c r="AJ5" s="79">
        <f>K5</f>
        <v>207200</v>
      </c>
      <c r="AK5" s="8"/>
      <c r="AL5" s="8"/>
      <c r="AM5" s="8"/>
      <c r="AN5" s="8"/>
      <c r="AO5" s="8"/>
      <c r="AP5" s="8"/>
      <c r="AQ5" s="8"/>
      <c r="AR5" s="8"/>
      <c r="AS5" s="8"/>
      <c r="AT5" s="8"/>
      <c r="AU5" s="8"/>
      <c r="AV5" s="8"/>
      <c r="AW5" s="8"/>
      <c r="AX5" s="8"/>
      <c r="AY5" s="8"/>
      <c r="AZ5" s="8"/>
      <c r="BA5" s="8"/>
      <c r="BB5" s="8"/>
      <c r="BC5" s="8"/>
      <c r="BD5" s="8"/>
      <c r="BE5" s="8"/>
      <c r="BF5" s="8"/>
      <c r="BG5" s="8"/>
      <c r="BH5" s="8"/>
      <c r="BI5" s="8"/>
      <c r="BJ5" s="8"/>
      <c r="BK5" s="288" t="b">
        <f t="shared" si="1"/>
        <v>1</v>
      </c>
      <c r="BN5" s="360">
        <f t="shared" si="2"/>
        <v>0</v>
      </c>
      <c r="BO5" s="360">
        <f t="shared" si="3"/>
        <v>0</v>
      </c>
      <c r="BP5" s="360">
        <f t="shared" si="4"/>
        <v>0</v>
      </c>
      <c r="BQ5" s="360">
        <f t="shared" si="5"/>
        <v>0</v>
      </c>
      <c r="BR5" s="360">
        <f t="shared" si="6"/>
        <v>0</v>
      </c>
      <c r="BS5" s="360">
        <f t="shared" si="7"/>
        <v>0</v>
      </c>
      <c r="BT5" s="360">
        <f t="shared" si="8"/>
        <v>0</v>
      </c>
      <c r="BU5" s="360">
        <f t="shared" si="9"/>
        <v>0</v>
      </c>
      <c r="BV5" s="360">
        <f t="shared" si="10"/>
        <v>0</v>
      </c>
      <c r="BW5" s="360">
        <f t="shared" si="11"/>
        <v>0</v>
      </c>
      <c r="BX5" s="360">
        <f t="shared" si="12"/>
        <v>0</v>
      </c>
      <c r="BY5" s="360">
        <f t="shared" si="13"/>
        <v>0</v>
      </c>
      <c r="BZ5" s="360">
        <f t="shared" si="14"/>
        <v>9866.6666666666661</v>
      </c>
      <c r="CA5" s="360">
        <f t="shared" si="15"/>
        <v>98666.666666666657</v>
      </c>
      <c r="CB5" s="360">
        <f t="shared" si="16"/>
        <v>98666.666666666657</v>
      </c>
      <c r="CC5" s="360">
        <f t="shared" si="17"/>
        <v>0</v>
      </c>
      <c r="CD5" s="360">
        <f t="shared" si="18"/>
        <v>0</v>
      </c>
      <c r="CE5" s="360">
        <f t="shared" si="19"/>
        <v>0</v>
      </c>
      <c r="CF5" s="360">
        <f t="shared" si="20"/>
        <v>0</v>
      </c>
      <c r="CG5" s="360">
        <f t="shared" si="21"/>
        <v>0</v>
      </c>
      <c r="CH5" s="360">
        <f t="shared" si="22"/>
        <v>0</v>
      </c>
      <c r="CI5" s="360">
        <f t="shared" si="23"/>
        <v>0</v>
      </c>
      <c r="CJ5" s="360">
        <f t="shared" si="24"/>
        <v>0</v>
      </c>
      <c r="CK5" s="360">
        <f t="shared" si="25"/>
        <v>0</v>
      </c>
      <c r="CL5" s="360">
        <f t="shared" si="26"/>
        <v>0</v>
      </c>
      <c r="CM5" s="360">
        <f t="shared" si="27"/>
        <v>0</v>
      </c>
      <c r="CN5" s="360">
        <f t="shared" si="28"/>
        <v>0</v>
      </c>
      <c r="CO5" s="360">
        <f t="shared" si="29"/>
        <v>0</v>
      </c>
      <c r="CP5" s="360">
        <f t="shared" si="30"/>
        <v>0</v>
      </c>
      <c r="CQ5" s="360">
        <f t="shared" si="31"/>
        <v>0</v>
      </c>
      <c r="CR5" s="360">
        <f t="shared" si="32"/>
        <v>0</v>
      </c>
      <c r="CS5" s="360">
        <f t="shared" si="33"/>
        <v>0</v>
      </c>
      <c r="CT5" s="360">
        <f t="shared" si="34"/>
        <v>0</v>
      </c>
      <c r="CU5" s="360">
        <f t="shared" si="35"/>
        <v>0</v>
      </c>
      <c r="CV5" s="360">
        <f t="shared" si="36"/>
        <v>0</v>
      </c>
      <c r="CW5" s="360">
        <f t="shared" si="37"/>
        <v>0</v>
      </c>
      <c r="CX5" s="360">
        <f t="shared" si="38"/>
        <v>0</v>
      </c>
      <c r="CY5" s="360">
        <f t="shared" si="39"/>
        <v>0</v>
      </c>
      <c r="CZ5" s="360">
        <f t="shared" si="40"/>
        <v>0</v>
      </c>
      <c r="DA5" s="360">
        <f t="shared" si="41"/>
        <v>0</v>
      </c>
      <c r="DB5" s="360">
        <f t="shared" si="42"/>
        <v>0</v>
      </c>
      <c r="DC5" s="360">
        <f t="shared" si="43"/>
        <v>0</v>
      </c>
      <c r="DD5" s="360">
        <f t="shared" si="44"/>
        <v>0</v>
      </c>
      <c r="DE5" s="360">
        <f t="shared" si="45"/>
        <v>0</v>
      </c>
      <c r="DF5" s="360">
        <f t="shared" si="46"/>
        <v>0</v>
      </c>
      <c r="DG5" s="360">
        <f t="shared" si="47"/>
        <v>0</v>
      </c>
      <c r="DH5" s="360">
        <f t="shared" si="48"/>
        <v>0</v>
      </c>
      <c r="DI5" s="360">
        <f t="shared" si="49"/>
        <v>0</v>
      </c>
    </row>
    <row r="6" spans="1:113" ht="28" x14ac:dyDescent="0.3">
      <c r="A6" s="55" t="s">
        <v>1466</v>
      </c>
      <c r="B6" s="139" t="s">
        <v>1467</v>
      </c>
      <c r="C6" s="11" t="s">
        <v>1468</v>
      </c>
      <c r="D6" s="265" t="s">
        <v>297</v>
      </c>
      <c r="E6" s="11" t="s">
        <v>1452</v>
      </c>
      <c r="F6" s="134" t="s">
        <v>299</v>
      </c>
      <c r="G6" s="175">
        <f>'[1]Costs (Arup)'!C59*2.91</f>
        <v>407400</v>
      </c>
      <c r="H6" s="114" t="s">
        <v>871</v>
      </c>
      <c r="I6" s="59">
        <v>0</v>
      </c>
      <c r="J6" s="59">
        <f t="shared" si="0"/>
        <v>407400</v>
      </c>
      <c r="K6" s="126">
        <f t="shared" si="50"/>
        <v>407400</v>
      </c>
      <c r="L6" s="126" t="s">
        <v>1453</v>
      </c>
      <c r="M6" s="413">
        <f t="shared" si="51"/>
        <v>0</v>
      </c>
      <c r="N6" s="100" t="s">
        <v>402</v>
      </c>
      <c r="O6" s="98"/>
      <c r="P6" s="98"/>
      <c r="Q6" s="98"/>
      <c r="R6" s="9"/>
      <c r="S6" s="9"/>
      <c r="T6" s="103"/>
      <c r="U6" s="242">
        <f>[1]Phasing!D$27</f>
        <v>4.7619047619047616E-2</v>
      </c>
      <c r="V6" s="242">
        <f>[1]Phasing!E$27</f>
        <v>0.47619047619047616</v>
      </c>
      <c r="W6" s="242">
        <f>[1]Phasing!F$27</f>
        <v>0.47619047619047616</v>
      </c>
      <c r="X6" s="245">
        <f>[1]Phasing!G$27</f>
        <v>0</v>
      </c>
      <c r="Y6" s="245">
        <f>[1]Phasing!H$27</f>
        <v>0</v>
      </c>
      <c r="Z6" s="246">
        <f>[1]Phasing!I$27</f>
        <v>0</v>
      </c>
      <c r="AA6" s="131"/>
      <c r="AB6" s="131" t="s">
        <v>239</v>
      </c>
      <c r="AC6" s="11" t="s">
        <v>1454</v>
      </c>
      <c r="AD6" s="274" t="s">
        <v>241</v>
      </c>
      <c r="AE6" s="11"/>
      <c r="AF6" s="97" t="s">
        <v>242</v>
      </c>
      <c r="AG6" s="94" t="s">
        <v>252</v>
      </c>
      <c r="AH6" s="176"/>
      <c r="AI6" s="8"/>
      <c r="AJ6" s="8"/>
      <c r="AK6" s="79">
        <f>$K$6*'[1]Apportionment %'!F5</f>
        <v>153775.39756782039</v>
      </c>
      <c r="AL6" s="79">
        <f>$K$6*'[1]Apportionment %'!G5</f>
        <v>253624.60243217961</v>
      </c>
      <c r="AM6" s="8"/>
      <c r="AN6" s="8"/>
      <c r="AO6" s="8"/>
      <c r="AP6" s="8"/>
      <c r="AQ6" s="8"/>
      <c r="AR6" s="8"/>
      <c r="AS6" s="8"/>
      <c r="AT6" s="8"/>
      <c r="AU6" s="8"/>
      <c r="AV6" s="8"/>
      <c r="AW6" s="8"/>
      <c r="AX6" s="8"/>
      <c r="AY6" s="8"/>
      <c r="AZ6" s="8"/>
      <c r="BA6" s="8"/>
      <c r="BB6" s="8"/>
      <c r="BC6" s="8"/>
      <c r="BD6" s="8"/>
      <c r="BE6" s="8"/>
      <c r="BF6" s="8"/>
      <c r="BG6" s="8"/>
      <c r="BH6" s="8"/>
      <c r="BI6" s="8"/>
      <c r="BJ6" s="8"/>
      <c r="BK6" s="288" t="b">
        <f t="shared" si="1"/>
        <v>1</v>
      </c>
      <c r="BN6" s="360">
        <f t="shared" si="2"/>
        <v>0</v>
      </c>
      <c r="BO6" s="360">
        <f t="shared" si="3"/>
        <v>0</v>
      </c>
      <c r="BP6" s="360">
        <f t="shared" si="4"/>
        <v>0</v>
      </c>
      <c r="BQ6" s="360">
        <f t="shared" si="5"/>
        <v>0</v>
      </c>
      <c r="BR6" s="360">
        <f t="shared" si="6"/>
        <v>0</v>
      </c>
      <c r="BS6" s="360">
        <f t="shared" si="7"/>
        <v>0</v>
      </c>
      <c r="BT6" s="360">
        <f t="shared" si="8"/>
        <v>0</v>
      </c>
      <c r="BU6" s="360">
        <f t="shared" si="9"/>
        <v>0</v>
      </c>
      <c r="BV6" s="360">
        <f t="shared" si="10"/>
        <v>0</v>
      </c>
      <c r="BW6" s="360">
        <f t="shared" si="11"/>
        <v>0</v>
      </c>
      <c r="BX6" s="360">
        <f t="shared" si="12"/>
        <v>0</v>
      </c>
      <c r="BY6" s="360">
        <f t="shared" si="13"/>
        <v>0</v>
      </c>
      <c r="BZ6" s="360">
        <f t="shared" si="14"/>
        <v>0</v>
      </c>
      <c r="CA6" s="360">
        <f t="shared" si="15"/>
        <v>0</v>
      </c>
      <c r="CB6" s="360">
        <f t="shared" si="16"/>
        <v>0</v>
      </c>
      <c r="CC6" s="360">
        <f t="shared" si="17"/>
        <v>0</v>
      </c>
      <c r="CD6" s="360">
        <f t="shared" si="18"/>
        <v>0</v>
      </c>
      <c r="CE6" s="360">
        <f t="shared" si="19"/>
        <v>0</v>
      </c>
      <c r="CF6" s="360">
        <f t="shared" si="20"/>
        <v>7322.6379794200184</v>
      </c>
      <c r="CG6" s="360">
        <f t="shared" si="21"/>
        <v>73226.379794200184</v>
      </c>
      <c r="CH6" s="360">
        <f t="shared" si="22"/>
        <v>73226.379794200184</v>
      </c>
      <c r="CI6" s="360">
        <f t="shared" si="23"/>
        <v>0</v>
      </c>
      <c r="CJ6" s="360">
        <f t="shared" si="24"/>
        <v>0</v>
      </c>
      <c r="CK6" s="360">
        <f t="shared" si="25"/>
        <v>0</v>
      </c>
      <c r="CL6" s="360">
        <f t="shared" si="26"/>
        <v>12077.362020579982</v>
      </c>
      <c r="CM6" s="360">
        <f t="shared" si="27"/>
        <v>120773.62020579982</v>
      </c>
      <c r="CN6" s="360">
        <f t="shared" si="28"/>
        <v>120773.62020579982</v>
      </c>
      <c r="CO6" s="360">
        <f t="shared" si="29"/>
        <v>0</v>
      </c>
      <c r="CP6" s="360">
        <f t="shared" si="30"/>
        <v>0</v>
      </c>
      <c r="CQ6" s="360">
        <f t="shared" si="31"/>
        <v>0</v>
      </c>
      <c r="CR6" s="360">
        <f t="shared" si="32"/>
        <v>0</v>
      </c>
      <c r="CS6" s="360">
        <f t="shared" si="33"/>
        <v>0</v>
      </c>
      <c r="CT6" s="360">
        <f t="shared" si="34"/>
        <v>0</v>
      </c>
      <c r="CU6" s="360">
        <f t="shared" si="35"/>
        <v>0</v>
      </c>
      <c r="CV6" s="360">
        <f t="shared" si="36"/>
        <v>0</v>
      </c>
      <c r="CW6" s="360">
        <f t="shared" si="37"/>
        <v>0</v>
      </c>
      <c r="CX6" s="360">
        <f t="shared" si="38"/>
        <v>0</v>
      </c>
      <c r="CY6" s="360">
        <f t="shared" si="39"/>
        <v>0</v>
      </c>
      <c r="CZ6" s="360">
        <f t="shared" si="40"/>
        <v>0</v>
      </c>
      <c r="DA6" s="360">
        <f t="shared" si="41"/>
        <v>0</v>
      </c>
      <c r="DB6" s="360">
        <f t="shared" si="42"/>
        <v>0</v>
      </c>
      <c r="DC6" s="360">
        <f t="shared" si="43"/>
        <v>0</v>
      </c>
      <c r="DD6" s="360">
        <f t="shared" si="44"/>
        <v>0</v>
      </c>
      <c r="DE6" s="360">
        <f t="shared" si="45"/>
        <v>0</v>
      </c>
      <c r="DF6" s="360">
        <f t="shared" si="46"/>
        <v>0</v>
      </c>
      <c r="DG6" s="360">
        <f t="shared" si="47"/>
        <v>0</v>
      </c>
      <c r="DH6" s="360">
        <f t="shared" si="48"/>
        <v>0</v>
      </c>
      <c r="DI6" s="360">
        <f t="shared" si="49"/>
        <v>0</v>
      </c>
    </row>
    <row r="7" spans="1:113" ht="42" x14ac:dyDescent="0.3">
      <c r="A7" s="55" t="s">
        <v>1469</v>
      </c>
      <c r="B7" s="139"/>
      <c r="C7" s="50" t="s">
        <v>1470</v>
      </c>
      <c r="D7" s="265" t="s">
        <v>297</v>
      </c>
      <c r="E7" s="11" t="s">
        <v>1471</v>
      </c>
      <c r="F7" s="134" t="s">
        <v>299</v>
      </c>
      <c r="G7" s="175">
        <f>'[1]Costs (Arup)'!C59*11.42</f>
        <v>1598800</v>
      </c>
      <c r="H7" s="114" t="s">
        <v>871</v>
      </c>
      <c r="I7" s="59">
        <v>0</v>
      </c>
      <c r="J7" s="59">
        <f t="shared" si="0"/>
        <v>1598800</v>
      </c>
      <c r="K7" s="126">
        <f t="shared" si="50"/>
        <v>1598800</v>
      </c>
      <c r="L7" s="126" t="s">
        <v>1453</v>
      </c>
      <c r="M7" s="413">
        <f t="shared" si="51"/>
        <v>0</v>
      </c>
      <c r="N7" s="100" t="s">
        <v>890</v>
      </c>
      <c r="O7" s="98"/>
      <c r="P7" s="98"/>
      <c r="Q7" s="98"/>
      <c r="R7" s="98"/>
      <c r="S7" s="98"/>
      <c r="T7" s="160"/>
      <c r="U7" s="242">
        <f>[1]Phasing!D$29</f>
        <v>2.5529411764705884E-2</v>
      </c>
      <c r="V7" s="242">
        <f>[1]Phasing!E$29</f>
        <v>9.8000000000000004E-2</v>
      </c>
      <c r="W7" s="242">
        <f>[1]Phasing!F$29</f>
        <v>0.11764705882352941</v>
      </c>
      <c r="X7" s="242">
        <f>[1]Phasing!G$29</f>
        <v>0.11764705882352941</v>
      </c>
      <c r="Y7" s="242">
        <f>[1]Phasing!H$29</f>
        <v>0.17647058823529413</v>
      </c>
      <c r="Z7" s="247">
        <f>[1]Phasing!I$29</f>
        <v>0.46470588235294119</v>
      </c>
      <c r="AA7" s="131" t="s">
        <v>1472</v>
      </c>
      <c r="AB7" s="32"/>
      <c r="AC7" s="11" t="s">
        <v>1473</v>
      </c>
      <c r="AD7" s="274" t="s">
        <v>241</v>
      </c>
      <c r="AE7" s="11"/>
      <c r="AF7" s="97" t="s">
        <v>242</v>
      </c>
      <c r="AG7" s="94" t="s">
        <v>252</v>
      </c>
      <c r="AH7" s="176"/>
      <c r="AI7" s="8"/>
      <c r="AJ7" s="8"/>
      <c r="AK7" s="8"/>
      <c r="AL7" s="8"/>
      <c r="AM7" s="79">
        <f>K7</f>
        <v>1598800</v>
      </c>
      <c r="AN7" s="8"/>
      <c r="AO7" s="8"/>
      <c r="AP7" s="8"/>
      <c r="AQ7" s="8"/>
      <c r="AR7" s="8"/>
      <c r="AS7" s="8"/>
      <c r="AT7" s="8"/>
      <c r="AU7" s="8"/>
      <c r="AV7" s="8"/>
      <c r="AW7" s="8"/>
      <c r="AX7" s="8"/>
      <c r="AY7" s="8"/>
      <c r="AZ7" s="8"/>
      <c r="BA7" s="8"/>
      <c r="BB7" s="8"/>
      <c r="BC7" s="8"/>
      <c r="BD7" s="8"/>
      <c r="BE7" s="8"/>
      <c r="BF7" s="8"/>
      <c r="BG7" s="8"/>
      <c r="BH7" s="8"/>
      <c r="BI7" s="8"/>
      <c r="BJ7" s="8"/>
      <c r="BK7" s="288" t="b">
        <f t="shared" si="1"/>
        <v>1</v>
      </c>
      <c r="BN7" s="360">
        <f t="shared" si="2"/>
        <v>0</v>
      </c>
      <c r="BO7" s="360">
        <f t="shared" si="3"/>
        <v>0</v>
      </c>
      <c r="BP7" s="360">
        <f t="shared" si="4"/>
        <v>0</v>
      </c>
      <c r="BQ7" s="360">
        <f t="shared" si="5"/>
        <v>0</v>
      </c>
      <c r="BR7" s="360">
        <f t="shared" si="6"/>
        <v>0</v>
      </c>
      <c r="BS7" s="360">
        <f t="shared" si="7"/>
        <v>0</v>
      </c>
      <c r="BT7" s="360">
        <f t="shared" si="8"/>
        <v>0</v>
      </c>
      <c r="BU7" s="360">
        <f t="shared" si="9"/>
        <v>0</v>
      </c>
      <c r="BV7" s="360">
        <f t="shared" si="10"/>
        <v>0</v>
      </c>
      <c r="BW7" s="360">
        <f t="shared" si="11"/>
        <v>0</v>
      </c>
      <c r="BX7" s="360">
        <f t="shared" si="12"/>
        <v>0</v>
      </c>
      <c r="BY7" s="360">
        <f t="shared" si="13"/>
        <v>0</v>
      </c>
      <c r="BZ7" s="360">
        <f t="shared" si="14"/>
        <v>0</v>
      </c>
      <c r="CA7" s="360">
        <f t="shared" si="15"/>
        <v>0</v>
      </c>
      <c r="CB7" s="360">
        <f t="shared" si="16"/>
        <v>0</v>
      </c>
      <c r="CC7" s="360">
        <f t="shared" si="17"/>
        <v>0</v>
      </c>
      <c r="CD7" s="360">
        <f t="shared" si="18"/>
        <v>0</v>
      </c>
      <c r="CE7" s="360">
        <f t="shared" si="19"/>
        <v>0</v>
      </c>
      <c r="CF7" s="360">
        <f t="shared" si="20"/>
        <v>0</v>
      </c>
      <c r="CG7" s="360">
        <f t="shared" si="21"/>
        <v>0</v>
      </c>
      <c r="CH7" s="360">
        <f t="shared" si="22"/>
        <v>0</v>
      </c>
      <c r="CI7" s="360">
        <f t="shared" si="23"/>
        <v>0</v>
      </c>
      <c r="CJ7" s="360">
        <f t="shared" si="24"/>
        <v>0</v>
      </c>
      <c r="CK7" s="360">
        <f t="shared" si="25"/>
        <v>0</v>
      </c>
      <c r="CL7" s="360">
        <f t="shared" si="26"/>
        <v>0</v>
      </c>
      <c r="CM7" s="360">
        <f t="shared" si="27"/>
        <v>0</v>
      </c>
      <c r="CN7" s="360">
        <f t="shared" si="28"/>
        <v>0</v>
      </c>
      <c r="CO7" s="360">
        <f t="shared" si="29"/>
        <v>0</v>
      </c>
      <c r="CP7" s="360">
        <f t="shared" si="30"/>
        <v>0</v>
      </c>
      <c r="CQ7" s="360">
        <f t="shared" si="31"/>
        <v>0</v>
      </c>
      <c r="CR7" s="360">
        <f t="shared" si="32"/>
        <v>40816.423529411768</v>
      </c>
      <c r="CS7" s="360">
        <f t="shared" si="33"/>
        <v>156682.4</v>
      </c>
      <c r="CT7" s="360">
        <f t="shared" si="34"/>
        <v>188094.11764705883</v>
      </c>
      <c r="CU7" s="360">
        <f t="shared" si="35"/>
        <v>188094.11764705883</v>
      </c>
      <c r="CV7" s="360">
        <f t="shared" si="36"/>
        <v>282141.17647058825</v>
      </c>
      <c r="CW7" s="360">
        <f t="shared" si="37"/>
        <v>742971.76470588241</v>
      </c>
      <c r="CX7" s="360">
        <f t="shared" si="38"/>
        <v>0</v>
      </c>
      <c r="CY7" s="360">
        <f t="shared" si="39"/>
        <v>0</v>
      </c>
      <c r="CZ7" s="360">
        <f t="shared" si="40"/>
        <v>0</v>
      </c>
      <c r="DA7" s="360">
        <f t="shared" si="41"/>
        <v>0</v>
      </c>
      <c r="DB7" s="360">
        <f t="shared" si="42"/>
        <v>0</v>
      </c>
      <c r="DC7" s="360">
        <f t="shared" si="43"/>
        <v>0</v>
      </c>
      <c r="DD7" s="360">
        <f t="shared" si="44"/>
        <v>0</v>
      </c>
      <c r="DE7" s="360">
        <f t="shared" si="45"/>
        <v>0</v>
      </c>
      <c r="DF7" s="360">
        <f t="shared" si="46"/>
        <v>0</v>
      </c>
      <c r="DG7" s="360">
        <f t="shared" si="47"/>
        <v>0</v>
      </c>
      <c r="DH7" s="360">
        <f t="shared" si="48"/>
        <v>0</v>
      </c>
      <c r="DI7" s="360">
        <f t="shared" si="49"/>
        <v>0</v>
      </c>
    </row>
    <row r="8" spans="1:113" ht="42" x14ac:dyDescent="0.3">
      <c r="A8" s="55" t="s">
        <v>1474</v>
      </c>
      <c r="B8" s="139"/>
      <c r="C8" s="50" t="s">
        <v>1475</v>
      </c>
      <c r="D8" s="265" t="s">
        <v>297</v>
      </c>
      <c r="E8" s="11" t="s">
        <v>1471</v>
      </c>
      <c r="F8" s="134" t="s">
        <v>299</v>
      </c>
      <c r="G8" s="175">
        <f>'[1]Costs (Arup)'!C59*2.02</f>
        <v>282800</v>
      </c>
      <c r="H8" s="114" t="s">
        <v>871</v>
      </c>
      <c r="I8" s="59">
        <v>0</v>
      </c>
      <c r="J8" s="59">
        <f t="shared" si="0"/>
        <v>282800</v>
      </c>
      <c r="K8" s="126">
        <f t="shared" si="50"/>
        <v>282800</v>
      </c>
      <c r="L8" s="126" t="s">
        <v>1453</v>
      </c>
      <c r="M8" s="413">
        <f t="shared" si="51"/>
        <v>0</v>
      </c>
      <c r="N8" s="100" t="s">
        <v>890</v>
      </c>
      <c r="O8" s="98"/>
      <c r="P8" s="98"/>
      <c r="Q8" s="98"/>
      <c r="R8" s="98"/>
      <c r="S8" s="98"/>
      <c r="T8" s="160"/>
      <c r="U8" s="242">
        <f>[1]Phasing!D$30</f>
        <v>0</v>
      </c>
      <c r="V8" s="242">
        <f>[1]Phasing!E$30</f>
        <v>0.33333333333333331</v>
      </c>
      <c r="W8" s="242">
        <f>[1]Phasing!F$30</f>
        <v>0.33333333333333331</v>
      </c>
      <c r="X8" s="242">
        <f>[1]Phasing!G$30</f>
        <v>0.33333333333333331</v>
      </c>
      <c r="Y8" s="242">
        <f>[1]Phasing!H$30</f>
        <v>0</v>
      </c>
      <c r="Z8" s="247">
        <f>[1]Phasing!I$30</f>
        <v>0</v>
      </c>
      <c r="AA8" s="131" t="s">
        <v>1472</v>
      </c>
      <c r="AB8" s="32"/>
      <c r="AC8" s="11" t="s">
        <v>1473</v>
      </c>
      <c r="AD8" s="274" t="s">
        <v>241</v>
      </c>
      <c r="AE8" s="11"/>
      <c r="AF8" s="97" t="s">
        <v>242</v>
      </c>
      <c r="AG8" s="94" t="s">
        <v>252</v>
      </c>
      <c r="AH8" s="177"/>
      <c r="AI8" s="132"/>
      <c r="AJ8" s="8"/>
      <c r="AK8" s="8"/>
      <c r="AL8" s="8"/>
      <c r="AM8" s="8"/>
      <c r="AN8" s="79">
        <f>K8</f>
        <v>282800</v>
      </c>
      <c r="AO8" s="8"/>
      <c r="AP8" s="8"/>
      <c r="AQ8" s="8"/>
      <c r="AR8" s="8"/>
      <c r="AS8" s="8"/>
      <c r="AT8" s="8"/>
      <c r="AU8" s="8"/>
      <c r="AV8" s="8"/>
      <c r="AW8" s="8"/>
      <c r="AX8" s="8"/>
      <c r="AY8" s="8"/>
      <c r="AZ8" s="8"/>
      <c r="BA8" s="8"/>
      <c r="BB8" s="8"/>
      <c r="BC8" s="8"/>
      <c r="BD8" s="8"/>
      <c r="BE8" s="8"/>
      <c r="BF8" s="8"/>
      <c r="BG8" s="8"/>
      <c r="BH8" s="8"/>
      <c r="BI8" s="8"/>
      <c r="BJ8" s="8"/>
      <c r="BK8" s="288" t="b">
        <f t="shared" si="1"/>
        <v>1</v>
      </c>
      <c r="BN8" s="360">
        <f t="shared" si="2"/>
        <v>0</v>
      </c>
      <c r="BO8" s="360">
        <f t="shared" si="3"/>
        <v>0</v>
      </c>
      <c r="BP8" s="360">
        <f t="shared" si="4"/>
        <v>0</v>
      </c>
      <c r="BQ8" s="360">
        <f t="shared" si="5"/>
        <v>0</v>
      </c>
      <c r="BR8" s="360">
        <f t="shared" si="6"/>
        <v>0</v>
      </c>
      <c r="BS8" s="360">
        <f t="shared" si="7"/>
        <v>0</v>
      </c>
      <c r="BT8" s="360">
        <f t="shared" si="8"/>
        <v>0</v>
      </c>
      <c r="BU8" s="360">
        <f t="shared" si="9"/>
        <v>0</v>
      </c>
      <c r="BV8" s="360">
        <f t="shared" si="10"/>
        <v>0</v>
      </c>
      <c r="BW8" s="360">
        <f t="shared" si="11"/>
        <v>0</v>
      </c>
      <c r="BX8" s="360">
        <f t="shared" si="12"/>
        <v>0</v>
      </c>
      <c r="BY8" s="360">
        <f t="shared" si="13"/>
        <v>0</v>
      </c>
      <c r="BZ8" s="360">
        <f t="shared" si="14"/>
        <v>0</v>
      </c>
      <c r="CA8" s="360">
        <f t="shared" si="15"/>
        <v>0</v>
      </c>
      <c r="CB8" s="360">
        <f t="shared" si="16"/>
        <v>0</v>
      </c>
      <c r="CC8" s="360">
        <f t="shared" si="17"/>
        <v>0</v>
      </c>
      <c r="CD8" s="360">
        <f t="shared" si="18"/>
        <v>0</v>
      </c>
      <c r="CE8" s="360">
        <f t="shared" si="19"/>
        <v>0</v>
      </c>
      <c r="CF8" s="360">
        <f t="shared" si="20"/>
        <v>0</v>
      </c>
      <c r="CG8" s="360">
        <f t="shared" si="21"/>
        <v>0</v>
      </c>
      <c r="CH8" s="360">
        <f t="shared" si="22"/>
        <v>0</v>
      </c>
      <c r="CI8" s="360">
        <f t="shared" si="23"/>
        <v>0</v>
      </c>
      <c r="CJ8" s="360">
        <f t="shared" si="24"/>
        <v>0</v>
      </c>
      <c r="CK8" s="360">
        <f t="shared" si="25"/>
        <v>0</v>
      </c>
      <c r="CL8" s="360">
        <f t="shared" si="26"/>
        <v>0</v>
      </c>
      <c r="CM8" s="360">
        <f t="shared" si="27"/>
        <v>0</v>
      </c>
      <c r="CN8" s="360">
        <f t="shared" si="28"/>
        <v>0</v>
      </c>
      <c r="CO8" s="360">
        <f t="shared" si="29"/>
        <v>0</v>
      </c>
      <c r="CP8" s="360">
        <f t="shared" si="30"/>
        <v>0</v>
      </c>
      <c r="CQ8" s="360">
        <f t="shared" si="31"/>
        <v>0</v>
      </c>
      <c r="CR8" s="360">
        <f t="shared" si="32"/>
        <v>0</v>
      </c>
      <c r="CS8" s="360">
        <f t="shared" si="33"/>
        <v>0</v>
      </c>
      <c r="CT8" s="360">
        <f t="shared" si="34"/>
        <v>0</v>
      </c>
      <c r="CU8" s="360">
        <f t="shared" si="35"/>
        <v>0</v>
      </c>
      <c r="CV8" s="360">
        <f t="shared" si="36"/>
        <v>0</v>
      </c>
      <c r="CW8" s="360">
        <f t="shared" si="37"/>
        <v>0</v>
      </c>
      <c r="CX8" s="360">
        <f t="shared" si="38"/>
        <v>0</v>
      </c>
      <c r="CY8" s="360">
        <f t="shared" si="39"/>
        <v>94266.666666666657</v>
      </c>
      <c r="CZ8" s="360">
        <f t="shared" si="40"/>
        <v>94266.666666666657</v>
      </c>
      <c r="DA8" s="360">
        <f t="shared" si="41"/>
        <v>94266.666666666657</v>
      </c>
      <c r="DB8" s="360">
        <f t="shared" si="42"/>
        <v>0</v>
      </c>
      <c r="DC8" s="360">
        <f t="shared" si="43"/>
        <v>0</v>
      </c>
      <c r="DD8" s="360">
        <f t="shared" si="44"/>
        <v>0</v>
      </c>
      <c r="DE8" s="360">
        <f t="shared" si="45"/>
        <v>0</v>
      </c>
      <c r="DF8" s="360">
        <f t="shared" si="46"/>
        <v>0</v>
      </c>
      <c r="DG8" s="360">
        <f t="shared" si="47"/>
        <v>0</v>
      </c>
      <c r="DH8" s="360">
        <f t="shared" si="48"/>
        <v>0</v>
      </c>
      <c r="DI8" s="360">
        <f t="shared" si="49"/>
        <v>0</v>
      </c>
    </row>
    <row r="9" spans="1:113" ht="42" x14ac:dyDescent="0.3">
      <c r="A9" s="55" t="s">
        <v>1476</v>
      </c>
      <c r="B9" s="139" t="s">
        <v>1456</v>
      </c>
      <c r="C9" s="11" t="s">
        <v>1477</v>
      </c>
      <c r="D9" s="265" t="s">
        <v>297</v>
      </c>
      <c r="E9" s="11" t="s">
        <v>1458</v>
      </c>
      <c r="F9" s="134" t="s">
        <v>299</v>
      </c>
      <c r="G9" s="175">
        <f>'[1]Costs (Arup)'!C59*5.49</f>
        <v>768600</v>
      </c>
      <c r="H9" s="114" t="s">
        <v>871</v>
      </c>
      <c r="I9" s="59">
        <v>0</v>
      </c>
      <c r="J9" s="59">
        <f>G9-I9</f>
        <v>768600</v>
      </c>
      <c r="K9" s="126">
        <f t="shared" si="50"/>
        <v>768600</v>
      </c>
      <c r="L9" s="126" t="s">
        <v>1453</v>
      </c>
      <c r="M9" s="413">
        <f t="shared" si="51"/>
        <v>0</v>
      </c>
      <c r="N9" s="100" t="s">
        <v>1183</v>
      </c>
      <c r="O9" s="98"/>
      <c r="P9" s="98"/>
      <c r="Q9" s="98"/>
      <c r="R9" s="26"/>
      <c r="S9" s="26"/>
      <c r="T9" s="170"/>
      <c r="U9" s="242">
        <f>[1]Phasing!D$31</f>
        <v>0.17959895379250218</v>
      </c>
      <c r="V9" s="242">
        <f>[1]Phasing!E$31</f>
        <v>0.1054925893635571</v>
      </c>
      <c r="W9" s="242">
        <f>[1]Phasing!F$31</f>
        <v>0.71490845684394067</v>
      </c>
      <c r="X9" s="243">
        <f>[1]Phasing!G$31</f>
        <v>0</v>
      </c>
      <c r="Y9" s="243">
        <f>[1]Phasing!H$31</f>
        <v>0</v>
      </c>
      <c r="Z9" s="244">
        <f>[1]Phasing!I$31</f>
        <v>0</v>
      </c>
      <c r="AA9" s="131" t="s">
        <v>1353</v>
      </c>
      <c r="AB9" s="131" t="s">
        <v>1461</v>
      </c>
      <c r="AC9" s="11" t="s">
        <v>1462</v>
      </c>
      <c r="AD9" s="274" t="s">
        <v>241</v>
      </c>
      <c r="AE9" s="11"/>
      <c r="AF9" s="97" t="s">
        <v>242</v>
      </c>
      <c r="AG9" s="94" t="s">
        <v>252</v>
      </c>
      <c r="AH9" s="177"/>
      <c r="AI9" s="132"/>
      <c r="AJ9" s="8"/>
      <c r="AK9" s="8"/>
      <c r="AL9" s="8"/>
      <c r="AM9" s="8"/>
      <c r="AN9" s="8"/>
      <c r="AO9" s="79">
        <f>$K$9*'[1]Apportionment %'!J6</f>
        <v>435562.33653007849</v>
      </c>
      <c r="AP9" s="79">
        <f>$K$9*'[1]Apportionment %'!K6</f>
        <v>46906.713164777684</v>
      </c>
      <c r="AQ9" s="79">
        <f>$K$9*'[1]Apportionment %'!L6</f>
        <v>46236.617262423715</v>
      </c>
      <c r="AR9" s="79">
        <f>$K$9*'[1]Apportionment %'!M6</f>
        <v>28144.027898866607</v>
      </c>
      <c r="AS9" s="79">
        <f>$K$9*'[1]Apportionment %'!N6</f>
        <v>24123.452484742807</v>
      </c>
      <c r="AT9" s="79">
        <f>$K$9*'[1]Apportionment %'!O6</f>
        <v>23453.356582388842</v>
      </c>
      <c r="AU9" s="79">
        <f>$K$9*'[1]Apportionment %'!P6</f>
        <v>23453.356582388842</v>
      </c>
      <c r="AV9" s="79">
        <f>$K$9*'[1]Apportionment %'!Q6</f>
        <v>23453.356582388842</v>
      </c>
      <c r="AW9" s="79">
        <f>$K$9*'[1]Apportionment %'!R6</f>
        <v>15412.20575414124</v>
      </c>
      <c r="AX9" s="79">
        <f>$K$9*'[1]Apportionment %'!S6</f>
        <v>13401.918047079336</v>
      </c>
      <c r="AY9" s="79">
        <f>$K$9*'[1]Apportionment %'!T6</f>
        <v>10721.534437663471</v>
      </c>
      <c r="AZ9" s="79">
        <f>$K$9*'[1]Apportionment %'!U6</f>
        <v>10721.534437663471</v>
      </c>
      <c r="BA9" s="79">
        <f>$K$9*'[1]Apportionment %'!V6</f>
        <v>10051.438535309502</v>
      </c>
      <c r="BB9" s="79">
        <f>$K$9*'[1]Apportionment %'!W6</f>
        <v>8711.2467306015697</v>
      </c>
      <c r="BC9" s="79">
        <f>$K$9*'[1]Apportionment %'!X6</f>
        <v>8041.1508282476025</v>
      </c>
      <c r="BD9" s="79">
        <f>$K$9*'[1]Apportionment %'!Y6</f>
        <v>6700.9590235396681</v>
      </c>
      <c r="BE9" s="79">
        <f>$K$9*'[1]Apportionment %'!Z6</f>
        <v>6700.9590235396681</v>
      </c>
      <c r="BF9" s="79">
        <f>$K$9*'[1]Apportionment %'!AA6</f>
        <v>6700.9590235396681</v>
      </c>
      <c r="BG9" s="79">
        <f>$K$9*'[1]Apportionment %'!AB6</f>
        <v>6700.9590235396681</v>
      </c>
      <c r="BH9" s="79">
        <f>$K$9*'[1]Apportionment %'!AC6</f>
        <v>6700.9590235396681</v>
      </c>
      <c r="BI9" s="79">
        <f>$K$9*'[1]Apportionment %'!AD6</f>
        <v>6700.9590235396681</v>
      </c>
      <c r="BJ9" s="8"/>
      <c r="BK9" s="288" t="b">
        <f t="shared" si="1"/>
        <v>1</v>
      </c>
      <c r="BN9" s="360">
        <f t="shared" si="2"/>
        <v>0</v>
      </c>
      <c r="BO9" s="360">
        <f t="shared" si="3"/>
        <v>0</v>
      </c>
      <c r="BP9" s="360">
        <f t="shared" si="4"/>
        <v>0</v>
      </c>
      <c r="BQ9" s="360">
        <f t="shared" si="5"/>
        <v>0</v>
      </c>
      <c r="BR9" s="360">
        <f t="shared" si="6"/>
        <v>0</v>
      </c>
      <c r="BS9" s="360">
        <f t="shared" si="7"/>
        <v>0</v>
      </c>
      <c r="BT9" s="360">
        <f t="shared" si="8"/>
        <v>0</v>
      </c>
      <c r="BU9" s="360">
        <f t="shared" si="9"/>
        <v>0</v>
      </c>
      <c r="BV9" s="360">
        <f t="shared" si="10"/>
        <v>0</v>
      </c>
      <c r="BW9" s="360">
        <f t="shared" si="11"/>
        <v>0</v>
      </c>
      <c r="BX9" s="360">
        <f t="shared" si="12"/>
        <v>0</v>
      </c>
      <c r="BY9" s="360">
        <f t="shared" si="13"/>
        <v>0</v>
      </c>
      <c r="BZ9" s="360">
        <f t="shared" si="14"/>
        <v>0</v>
      </c>
      <c r="CA9" s="360">
        <f t="shared" si="15"/>
        <v>0</v>
      </c>
      <c r="CB9" s="360">
        <f t="shared" si="16"/>
        <v>0</v>
      </c>
      <c r="CC9" s="360">
        <f t="shared" si="17"/>
        <v>0</v>
      </c>
      <c r="CD9" s="360">
        <f t="shared" si="18"/>
        <v>0</v>
      </c>
      <c r="CE9" s="360">
        <f t="shared" si="19"/>
        <v>0</v>
      </c>
      <c r="CF9" s="360">
        <f t="shared" si="20"/>
        <v>0</v>
      </c>
      <c r="CG9" s="360">
        <f t="shared" si="21"/>
        <v>0</v>
      </c>
      <c r="CH9" s="360">
        <f t="shared" si="22"/>
        <v>0</v>
      </c>
      <c r="CI9" s="360">
        <f t="shared" si="23"/>
        <v>0</v>
      </c>
      <c r="CJ9" s="360">
        <f t="shared" si="24"/>
        <v>0</v>
      </c>
      <c r="CK9" s="360">
        <f t="shared" si="25"/>
        <v>0</v>
      </c>
      <c r="CL9" s="360">
        <f t="shared" si="26"/>
        <v>0</v>
      </c>
      <c r="CM9" s="360">
        <f t="shared" si="27"/>
        <v>0</v>
      </c>
      <c r="CN9" s="360">
        <f t="shared" si="28"/>
        <v>0</v>
      </c>
      <c r="CO9" s="360">
        <f t="shared" si="29"/>
        <v>0</v>
      </c>
      <c r="CP9" s="360">
        <f t="shared" si="30"/>
        <v>0</v>
      </c>
      <c r="CQ9" s="360">
        <f t="shared" si="31"/>
        <v>0</v>
      </c>
      <c r="CR9" s="360">
        <f t="shared" si="32"/>
        <v>0</v>
      </c>
      <c r="CS9" s="360">
        <f t="shared" si="33"/>
        <v>0</v>
      </c>
      <c r="CT9" s="360">
        <f t="shared" si="34"/>
        <v>0</v>
      </c>
      <c r="CU9" s="360">
        <f t="shared" si="35"/>
        <v>0</v>
      </c>
      <c r="CV9" s="360">
        <f t="shared" si="36"/>
        <v>0</v>
      </c>
      <c r="CW9" s="360">
        <f t="shared" si="37"/>
        <v>0</v>
      </c>
      <c r="CX9" s="360">
        <f t="shared" si="38"/>
        <v>0</v>
      </c>
      <c r="CY9" s="360">
        <f t="shared" si="39"/>
        <v>0</v>
      </c>
      <c r="CZ9" s="360">
        <f t="shared" si="40"/>
        <v>0</v>
      </c>
      <c r="DA9" s="360">
        <f t="shared" si="41"/>
        <v>0</v>
      </c>
      <c r="DB9" s="360">
        <f t="shared" si="42"/>
        <v>0</v>
      </c>
      <c r="DC9" s="360">
        <f t="shared" si="43"/>
        <v>0</v>
      </c>
      <c r="DD9" s="360">
        <f t="shared" si="44"/>
        <v>78226.539952219857</v>
      </c>
      <c r="DE9" s="360">
        <f t="shared" si="45"/>
        <v>45948.598709799036</v>
      </c>
      <c r="DF9" s="360">
        <f t="shared" si="46"/>
        <v>311387.19786805956</v>
      </c>
      <c r="DG9" s="360">
        <f t="shared" si="47"/>
        <v>0</v>
      </c>
      <c r="DH9" s="360">
        <f t="shared" si="48"/>
        <v>0</v>
      </c>
      <c r="DI9" s="360">
        <f t="shared" si="49"/>
        <v>0</v>
      </c>
    </row>
    <row r="10" spans="1:113" s="348" customFormat="1" x14ac:dyDescent="0.35">
      <c r="A10" s="411" t="s">
        <v>1478</v>
      </c>
      <c r="B10" s="138"/>
      <c r="C10" s="38"/>
      <c r="D10" s="38"/>
      <c r="E10" s="38"/>
      <c r="F10" s="167"/>
      <c r="G10" s="166"/>
      <c r="H10" s="41"/>
      <c r="I10" s="41"/>
      <c r="J10" s="41"/>
      <c r="K10" s="41"/>
      <c r="L10" s="41"/>
      <c r="M10" s="414"/>
      <c r="N10" s="168"/>
      <c r="O10" s="38"/>
      <c r="P10" s="38"/>
      <c r="Q10" s="38"/>
      <c r="R10" s="38"/>
      <c r="S10" s="38"/>
      <c r="T10" s="415"/>
      <c r="U10" s="229"/>
      <c r="V10" s="229"/>
      <c r="W10" s="229"/>
      <c r="X10" s="229"/>
      <c r="Y10" s="229"/>
      <c r="Z10" s="230"/>
      <c r="AA10" s="169"/>
      <c r="AB10" s="411"/>
      <c r="AC10" s="37"/>
      <c r="AD10" s="37"/>
      <c r="AE10" s="37"/>
      <c r="AF10" s="36"/>
      <c r="AG10" s="172"/>
      <c r="AH10" s="178"/>
      <c r="AI10" s="133"/>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288"/>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row>
    <row r="11" spans="1:113" ht="28" x14ac:dyDescent="0.3">
      <c r="A11" s="55" t="s">
        <v>1479</v>
      </c>
      <c r="B11" s="139" t="s">
        <v>1480</v>
      </c>
      <c r="C11" s="11" t="s">
        <v>1481</v>
      </c>
      <c r="D11" s="265" t="s">
        <v>297</v>
      </c>
      <c r="E11" s="11" t="s">
        <v>1452</v>
      </c>
      <c r="F11" s="134" t="s">
        <v>1339</v>
      </c>
      <c r="G11" s="175">
        <f>'[1]Costs (Arup)'!C56*1.4</f>
        <v>420000</v>
      </c>
      <c r="H11" s="114" t="s">
        <v>871</v>
      </c>
      <c r="I11" s="59">
        <v>0</v>
      </c>
      <c r="J11" s="59">
        <f t="shared" si="0"/>
        <v>420000</v>
      </c>
      <c r="K11" s="126">
        <f t="shared" si="50"/>
        <v>420000</v>
      </c>
      <c r="L11" s="126" t="s">
        <v>1453</v>
      </c>
      <c r="M11" s="413">
        <f t="shared" si="51"/>
        <v>0</v>
      </c>
      <c r="N11" s="100" t="s">
        <v>265</v>
      </c>
      <c r="O11" s="26"/>
      <c r="P11" s="98"/>
      <c r="Q11" s="98"/>
      <c r="R11" s="26"/>
      <c r="S11" s="26"/>
      <c r="T11" s="170"/>
      <c r="U11" s="243">
        <f>[1]Phasing!D22</f>
        <v>0</v>
      </c>
      <c r="V11" s="242">
        <f>[1]Phasing!E22</f>
        <v>0.33333333333333331</v>
      </c>
      <c r="W11" s="242">
        <f>[1]Phasing!F22</f>
        <v>0.66666666666666663</v>
      </c>
      <c r="X11" s="243">
        <f>[1]Phasing!G22</f>
        <v>0</v>
      </c>
      <c r="Y11" s="243">
        <f>[1]Phasing!H22</f>
        <v>0</v>
      </c>
      <c r="Z11" s="244">
        <f>[1]Phasing!I22</f>
        <v>0</v>
      </c>
      <c r="AA11" s="131"/>
      <c r="AB11" s="131" t="s">
        <v>239</v>
      </c>
      <c r="AC11" s="11" t="s">
        <v>1454</v>
      </c>
      <c r="AD11" s="274" t="s">
        <v>241</v>
      </c>
      <c r="AE11" s="11"/>
      <c r="AF11" s="97" t="s">
        <v>242</v>
      </c>
      <c r="AG11" s="94" t="s">
        <v>252</v>
      </c>
      <c r="AH11" s="179">
        <f>K11</f>
        <v>420000</v>
      </c>
      <c r="AI11" s="132"/>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288" t="b">
        <f t="shared" si="1"/>
        <v>1</v>
      </c>
      <c r="BN11" s="360">
        <f t="shared" ref="BN11:BN17" si="52">$U11*AH11</f>
        <v>0</v>
      </c>
      <c r="BO11" s="360">
        <f t="shared" ref="BO11:BO17" si="53">$V11*AH11</f>
        <v>140000</v>
      </c>
      <c r="BP11" s="360">
        <f t="shared" ref="BP11:BP17" si="54">$W11*AH11</f>
        <v>280000</v>
      </c>
      <c r="BQ11" s="360">
        <f t="shared" ref="BQ11:BQ17" si="55">$X11*AH11</f>
        <v>0</v>
      </c>
      <c r="BR11" s="360">
        <f t="shared" ref="BR11:BR17" si="56">$Y11*AH11</f>
        <v>0</v>
      </c>
      <c r="BS11" s="360">
        <f t="shared" ref="BS11:BS17" si="57">$Z11*AH11</f>
        <v>0</v>
      </c>
      <c r="BT11" s="360">
        <f t="shared" ref="BT11:BT17" si="58">$U11*AI11</f>
        <v>0</v>
      </c>
      <c r="BU11" s="360">
        <f t="shared" ref="BU11:BU17" si="59">$V11*AI11</f>
        <v>0</v>
      </c>
      <c r="BV11" s="360">
        <f t="shared" ref="BV11:BV17" si="60">$W11*AI11</f>
        <v>0</v>
      </c>
      <c r="BW11" s="360">
        <f t="shared" ref="BW11:BW17" si="61">$X11*AI11</f>
        <v>0</v>
      </c>
      <c r="BX11" s="360">
        <f t="shared" ref="BX11:BX17" si="62">$Y11*AI11</f>
        <v>0</v>
      </c>
      <c r="BY11" s="360">
        <f t="shared" ref="BY11:BY17" si="63">$Z11*AI11</f>
        <v>0</v>
      </c>
      <c r="BZ11" s="360">
        <f t="shared" ref="BZ11:BZ17" si="64">$U11*AJ11</f>
        <v>0</v>
      </c>
      <c r="CA11" s="360">
        <f t="shared" ref="CA11:CA17" si="65">$V11*AJ11</f>
        <v>0</v>
      </c>
      <c r="CB11" s="360">
        <f t="shared" ref="CB11:CB17" si="66">$W11*AJ11</f>
        <v>0</v>
      </c>
      <c r="CC11" s="360">
        <f t="shared" ref="CC11:CC17" si="67">$X11*AJ11</f>
        <v>0</v>
      </c>
      <c r="CD11" s="360">
        <f t="shared" ref="CD11:CD17" si="68">$Y11*AJ11</f>
        <v>0</v>
      </c>
      <c r="CE11" s="360">
        <f t="shared" ref="CE11:CE17" si="69">$Z11*AJ11</f>
        <v>0</v>
      </c>
      <c r="CF11" s="360">
        <f t="shared" ref="CF11:CF17" si="70">$U11*AK11</f>
        <v>0</v>
      </c>
      <c r="CG11" s="360">
        <f t="shared" ref="CG11:CG17" si="71">$V11*AK11</f>
        <v>0</v>
      </c>
      <c r="CH11" s="360">
        <f t="shared" ref="CH11:CH17" si="72">$W11*AK11</f>
        <v>0</v>
      </c>
      <c r="CI11" s="360">
        <f t="shared" ref="CI11:CI17" si="73">$X11*AK11</f>
        <v>0</v>
      </c>
      <c r="CJ11" s="360">
        <f t="shared" ref="CJ11:CJ17" si="74">$Y11*AK11</f>
        <v>0</v>
      </c>
      <c r="CK11" s="360">
        <f t="shared" ref="CK11:CK17" si="75">$Z11*AK11</f>
        <v>0</v>
      </c>
      <c r="CL11" s="360">
        <f t="shared" ref="CL11:CL17" si="76">$U11*AL11</f>
        <v>0</v>
      </c>
      <c r="CM11" s="360">
        <f t="shared" ref="CM11:CM17" si="77">$V11*AL11</f>
        <v>0</v>
      </c>
      <c r="CN11" s="360">
        <f t="shared" ref="CN11:CN17" si="78">$W11*AL11</f>
        <v>0</v>
      </c>
      <c r="CO11" s="360">
        <f t="shared" ref="CO11:CO17" si="79">$X11*AL11</f>
        <v>0</v>
      </c>
      <c r="CP11" s="360">
        <f t="shared" ref="CP11:CP17" si="80">$Y11*AL11</f>
        <v>0</v>
      </c>
      <c r="CQ11" s="360">
        <f t="shared" ref="CQ11:CQ17" si="81">$Z11*AL11</f>
        <v>0</v>
      </c>
      <c r="CR11" s="360">
        <f t="shared" ref="CR11:CR17" si="82">$U11*AM11</f>
        <v>0</v>
      </c>
      <c r="CS11" s="360">
        <f t="shared" ref="CS11:CS17" si="83">$V11*AM11</f>
        <v>0</v>
      </c>
      <c r="CT11" s="360">
        <f t="shared" ref="CT11:CT17" si="84">$W11*AM11</f>
        <v>0</v>
      </c>
      <c r="CU11" s="360">
        <f t="shared" ref="CU11:CU17" si="85">$X11*AM11</f>
        <v>0</v>
      </c>
      <c r="CV11" s="360">
        <f t="shared" ref="CV11:CV17" si="86">$Y11*AM11</f>
        <v>0</v>
      </c>
      <c r="CW11" s="360">
        <f t="shared" ref="CW11:CW17" si="87">$Z11*AM11</f>
        <v>0</v>
      </c>
      <c r="CX11" s="360">
        <f t="shared" ref="CX11:CX17" si="88">$U11*AN11</f>
        <v>0</v>
      </c>
      <c r="CY11" s="360">
        <f t="shared" ref="CY11:CY17" si="89">$V11*AN11</f>
        <v>0</v>
      </c>
      <c r="CZ11" s="360">
        <f t="shared" ref="CZ11:CZ17" si="90">$W11*AN11</f>
        <v>0</v>
      </c>
      <c r="DA11" s="360">
        <f t="shared" ref="DA11:DA17" si="91">$X11*AN11</f>
        <v>0</v>
      </c>
      <c r="DB11" s="360">
        <f t="shared" ref="DB11:DB17" si="92">$Y11*AN11</f>
        <v>0</v>
      </c>
      <c r="DC11" s="360">
        <f t="shared" ref="DC11:DC17" si="93">$Z11*AN11</f>
        <v>0</v>
      </c>
      <c r="DD11" s="360">
        <f t="shared" ref="DD11:DD17" si="94">$U11*AO11</f>
        <v>0</v>
      </c>
      <c r="DE11" s="360">
        <f t="shared" ref="DE11:DE17" si="95">$V11*AO11</f>
        <v>0</v>
      </c>
      <c r="DF11" s="360">
        <f t="shared" ref="DF11:DF17" si="96">$W11*AO11</f>
        <v>0</v>
      </c>
      <c r="DG11" s="360">
        <f t="shared" ref="DG11:DG17" si="97">$X11*AO11</f>
        <v>0</v>
      </c>
      <c r="DH11" s="360">
        <f t="shared" ref="DH11:DH17" si="98">$Y11*AO11</f>
        <v>0</v>
      </c>
      <c r="DI11" s="360">
        <f t="shared" ref="DI11:DI17" si="99">$Z11*AO11</f>
        <v>0</v>
      </c>
    </row>
    <row r="12" spans="1:113" ht="56" x14ac:dyDescent="0.3">
      <c r="A12" s="55" t="s">
        <v>1482</v>
      </c>
      <c r="B12" s="139" t="s">
        <v>1483</v>
      </c>
      <c r="C12" s="11" t="s">
        <v>1484</v>
      </c>
      <c r="D12" s="265" t="s">
        <v>297</v>
      </c>
      <c r="E12" s="11" t="s">
        <v>1458</v>
      </c>
      <c r="F12" s="134" t="s">
        <v>299</v>
      </c>
      <c r="G12" s="175">
        <f>'[1]Costs (Arup)'!C56*14</f>
        <v>4200000</v>
      </c>
      <c r="H12" s="114" t="s">
        <v>871</v>
      </c>
      <c r="I12" s="59">
        <v>0</v>
      </c>
      <c r="J12" s="59">
        <f t="shared" si="0"/>
        <v>4200000</v>
      </c>
      <c r="K12" s="126">
        <f t="shared" si="50"/>
        <v>4200000</v>
      </c>
      <c r="L12" s="126" t="s">
        <v>1453</v>
      </c>
      <c r="M12" s="413">
        <f t="shared" si="51"/>
        <v>0</v>
      </c>
      <c r="N12" s="100" t="s">
        <v>1459</v>
      </c>
      <c r="O12" s="98"/>
      <c r="P12" s="98"/>
      <c r="Q12" s="98"/>
      <c r="R12" s="26"/>
      <c r="S12" s="26"/>
      <c r="T12" s="170"/>
      <c r="U12" s="242">
        <f>[1]Phasing!D23</f>
        <v>0.28846153846153844</v>
      </c>
      <c r="V12" s="242">
        <f>[1]Phasing!E23</f>
        <v>0.44230769230769229</v>
      </c>
      <c r="W12" s="242">
        <f>[1]Phasing!F23</f>
        <v>0.26923076923076922</v>
      </c>
      <c r="X12" s="243">
        <f>[1]Phasing!G23</f>
        <v>0</v>
      </c>
      <c r="Y12" s="243">
        <f>[1]Phasing!H23</f>
        <v>0</v>
      </c>
      <c r="Z12" s="244">
        <f>[1]Phasing!I23</f>
        <v>0</v>
      </c>
      <c r="AA12" s="131" t="s">
        <v>1460</v>
      </c>
      <c r="AB12" s="131" t="s">
        <v>1461</v>
      </c>
      <c r="AC12" s="11" t="s">
        <v>1462</v>
      </c>
      <c r="AD12" s="274" t="s">
        <v>241</v>
      </c>
      <c r="AE12" s="11"/>
      <c r="AF12" s="97" t="s">
        <v>242</v>
      </c>
      <c r="AG12" s="94" t="s">
        <v>252</v>
      </c>
      <c r="AH12" s="177"/>
      <c r="AI12" s="164">
        <f>K12</f>
        <v>4200000</v>
      </c>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288" t="b">
        <f t="shared" si="1"/>
        <v>1</v>
      </c>
      <c r="BN12" s="360">
        <f t="shared" si="52"/>
        <v>0</v>
      </c>
      <c r="BO12" s="360">
        <f t="shared" si="53"/>
        <v>0</v>
      </c>
      <c r="BP12" s="360">
        <f t="shared" si="54"/>
        <v>0</v>
      </c>
      <c r="BQ12" s="360">
        <f t="shared" si="55"/>
        <v>0</v>
      </c>
      <c r="BR12" s="360">
        <f t="shared" si="56"/>
        <v>0</v>
      </c>
      <c r="BS12" s="360">
        <f t="shared" si="57"/>
        <v>0</v>
      </c>
      <c r="BT12" s="360">
        <f t="shared" si="58"/>
        <v>1211538.4615384615</v>
      </c>
      <c r="BU12" s="360">
        <f t="shared" si="59"/>
        <v>1857692.3076923075</v>
      </c>
      <c r="BV12" s="360">
        <f t="shared" si="60"/>
        <v>1130769.2307692308</v>
      </c>
      <c r="BW12" s="360">
        <f t="shared" si="61"/>
        <v>0</v>
      </c>
      <c r="BX12" s="360">
        <f t="shared" si="62"/>
        <v>0</v>
      </c>
      <c r="BY12" s="360">
        <f t="shared" si="63"/>
        <v>0</v>
      </c>
      <c r="BZ12" s="360">
        <f t="shared" si="64"/>
        <v>0</v>
      </c>
      <c r="CA12" s="360">
        <f t="shared" si="65"/>
        <v>0</v>
      </c>
      <c r="CB12" s="360">
        <f t="shared" si="66"/>
        <v>0</v>
      </c>
      <c r="CC12" s="360">
        <f t="shared" si="67"/>
        <v>0</v>
      </c>
      <c r="CD12" s="360">
        <f t="shared" si="68"/>
        <v>0</v>
      </c>
      <c r="CE12" s="360">
        <f t="shared" si="69"/>
        <v>0</v>
      </c>
      <c r="CF12" s="360">
        <f t="shared" si="70"/>
        <v>0</v>
      </c>
      <c r="CG12" s="360">
        <f t="shared" si="71"/>
        <v>0</v>
      </c>
      <c r="CH12" s="360">
        <f t="shared" si="72"/>
        <v>0</v>
      </c>
      <c r="CI12" s="360">
        <f t="shared" si="73"/>
        <v>0</v>
      </c>
      <c r="CJ12" s="360">
        <f t="shared" si="74"/>
        <v>0</v>
      </c>
      <c r="CK12" s="360">
        <f t="shared" si="75"/>
        <v>0</v>
      </c>
      <c r="CL12" s="360">
        <f t="shared" si="76"/>
        <v>0</v>
      </c>
      <c r="CM12" s="360">
        <f t="shared" si="77"/>
        <v>0</v>
      </c>
      <c r="CN12" s="360">
        <f t="shared" si="78"/>
        <v>0</v>
      </c>
      <c r="CO12" s="360">
        <f t="shared" si="79"/>
        <v>0</v>
      </c>
      <c r="CP12" s="360">
        <f t="shared" si="80"/>
        <v>0</v>
      </c>
      <c r="CQ12" s="360">
        <f t="shared" si="81"/>
        <v>0</v>
      </c>
      <c r="CR12" s="360">
        <f t="shared" si="82"/>
        <v>0</v>
      </c>
      <c r="CS12" s="360">
        <f t="shared" si="83"/>
        <v>0</v>
      </c>
      <c r="CT12" s="360">
        <f t="shared" si="84"/>
        <v>0</v>
      </c>
      <c r="CU12" s="360">
        <f t="shared" si="85"/>
        <v>0</v>
      </c>
      <c r="CV12" s="360">
        <f t="shared" si="86"/>
        <v>0</v>
      </c>
      <c r="CW12" s="360">
        <f t="shared" si="87"/>
        <v>0</v>
      </c>
      <c r="CX12" s="360">
        <f t="shared" si="88"/>
        <v>0</v>
      </c>
      <c r="CY12" s="360">
        <f t="shared" si="89"/>
        <v>0</v>
      </c>
      <c r="CZ12" s="360">
        <f t="shared" si="90"/>
        <v>0</v>
      </c>
      <c r="DA12" s="360">
        <f t="shared" si="91"/>
        <v>0</v>
      </c>
      <c r="DB12" s="360">
        <f t="shared" si="92"/>
        <v>0</v>
      </c>
      <c r="DC12" s="360">
        <f t="shared" si="93"/>
        <v>0</v>
      </c>
      <c r="DD12" s="360">
        <f t="shared" si="94"/>
        <v>0</v>
      </c>
      <c r="DE12" s="360">
        <f t="shared" si="95"/>
        <v>0</v>
      </c>
      <c r="DF12" s="360">
        <f t="shared" si="96"/>
        <v>0</v>
      </c>
      <c r="DG12" s="360">
        <f t="shared" si="97"/>
        <v>0</v>
      </c>
      <c r="DH12" s="360">
        <f t="shared" si="98"/>
        <v>0</v>
      </c>
      <c r="DI12" s="360">
        <f t="shared" si="99"/>
        <v>0</v>
      </c>
    </row>
    <row r="13" spans="1:113" ht="28" x14ac:dyDescent="0.3">
      <c r="A13" s="55" t="s">
        <v>1485</v>
      </c>
      <c r="B13" s="139" t="s">
        <v>1486</v>
      </c>
      <c r="C13" s="11" t="s">
        <v>1487</v>
      </c>
      <c r="D13" s="265" t="s">
        <v>297</v>
      </c>
      <c r="E13" s="11" t="s">
        <v>1452</v>
      </c>
      <c r="F13" s="134" t="s">
        <v>1339</v>
      </c>
      <c r="G13" s="175">
        <f>'[1]Costs (Arup)'!C56*1.97</f>
        <v>591000</v>
      </c>
      <c r="H13" s="114" t="s">
        <v>871</v>
      </c>
      <c r="I13" s="59">
        <v>0</v>
      </c>
      <c r="J13" s="59">
        <f t="shared" si="0"/>
        <v>591000</v>
      </c>
      <c r="K13" s="126">
        <f t="shared" si="50"/>
        <v>591000</v>
      </c>
      <c r="L13" s="126" t="s">
        <v>1453</v>
      </c>
      <c r="M13" s="413">
        <f t="shared" si="51"/>
        <v>0</v>
      </c>
      <c r="N13" s="100" t="s">
        <v>402</v>
      </c>
      <c r="O13" s="98"/>
      <c r="P13" s="98"/>
      <c r="Q13" s="98"/>
      <c r="R13" s="26"/>
      <c r="S13" s="26"/>
      <c r="T13" s="170"/>
      <c r="U13" s="242">
        <f>[1]Phasing!D24</f>
        <v>4.7619047619047616E-2</v>
      </c>
      <c r="V13" s="242">
        <f>[1]Phasing!E24</f>
        <v>0.47619047619047616</v>
      </c>
      <c r="W13" s="242">
        <f>[1]Phasing!F24</f>
        <v>0.47619047619047616</v>
      </c>
      <c r="X13" s="243">
        <f>[1]Phasing!G24</f>
        <v>0</v>
      </c>
      <c r="Y13" s="243">
        <f>[1]Phasing!H24</f>
        <v>0</v>
      </c>
      <c r="Z13" s="244">
        <f>[1]Phasing!I24</f>
        <v>0</v>
      </c>
      <c r="AA13" s="131"/>
      <c r="AB13" s="131" t="s">
        <v>239</v>
      </c>
      <c r="AC13" s="11" t="s">
        <v>1454</v>
      </c>
      <c r="AD13" s="274" t="s">
        <v>241</v>
      </c>
      <c r="AE13" s="11"/>
      <c r="AF13" s="97" t="s">
        <v>242</v>
      </c>
      <c r="AG13" s="94" t="s">
        <v>252</v>
      </c>
      <c r="AH13" s="177"/>
      <c r="AI13" s="132"/>
      <c r="AJ13" s="79">
        <f>K13</f>
        <v>591000</v>
      </c>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288" t="b">
        <f t="shared" si="1"/>
        <v>1</v>
      </c>
      <c r="BN13" s="360">
        <f t="shared" si="52"/>
        <v>0</v>
      </c>
      <c r="BO13" s="360">
        <f t="shared" si="53"/>
        <v>0</v>
      </c>
      <c r="BP13" s="360">
        <f t="shared" si="54"/>
        <v>0</v>
      </c>
      <c r="BQ13" s="360">
        <f t="shared" si="55"/>
        <v>0</v>
      </c>
      <c r="BR13" s="360">
        <f t="shared" si="56"/>
        <v>0</v>
      </c>
      <c r="BS13" s="360">
        <f t="shared" si="57"/>
        <v>0</v>
      </c>
      <c r="BT13" s="360">
        <f t="shared" si="58"/>
        <v>0</v>
      </c>
      <c r="BU13" s="360">
        <f t="shared" si="59"/>
        <v>0</v>
      </c>
      <c r="BV13" s="360">
        <f t="shared" si="60"/>
        <v>0</v>
      </c>
      <c r="BW13" s="360">
        <f t="shared" si="61"/>
        <v>0</v>
      </c>
      <c r="BX13" s="360">
        <f t="shared" si="62"/>
        <v>0</v>
      </c>
      <c r="BY13" s="360">
        <f t="shared" si="63"/>
        <v>0</v>
      </c>
      <c r="BZ13" s="360">
        <f t="shared" si="64"/>
        <v>28142.857142857141</v>
      </c>
      <c r="CA13" s="360">
        <f t="shared" si="65"/>
        <v>281428.57142857142</v>
      </c>
      <c r="CB13" s="360">
        <f t="shared" si="66"/>
        <v>281428.57142857142</v>
      </c>
      <c r="CC13" s="360">
        <f t="shared" si="67"/>
        <v>0</v>
      </c>
      <c r="CD13" s="360">
        <f t="shared" si="68"/>
        <v>0</v>
      </c>
      <c r="CE13" s="360">
        <f t="shared" si="69"/>
        <v>0</v>
      </c>
      <c r="CF13" s="360">
        <f t="shared" si="70"/>
        <v>0</v>
      </c>
      <c r="CG13" s="360">
        <f t="shared" si="71"/>
        <v>0</v>
      </c>
      <c r="CH13" s="360">
        <f t="shared" si="72"/>
        <v>0</v>
      </c>
      <c r="CI13" s="360">
        <f t="shared" si="73"/>
        <v>0</v>
      </c>
      <c r="CJ13" s="360">
        <f t="shared" si="74"/>
        <v>0</v>
      </c>
      <c r="CK13" s="360">
        <f t="shared" si="75"/>
        <v>0</v>
      </c>
      <c r="CL13" s="360">
        <f t="shared" si="76"/>
        <v>0</v>
      </c>
      <c r="CM13" s="360">
        <f t="shared" si="77"/>
        <v>0</v>
      </c>
      <c r="CN13" s="360">
        <f t="shared" si="78"/>
        <v>0</v>
      </c>
      <c r="CO13" s="360">
        <f t="shared" si="79"/>
        <v>0</v>
      </c>
      <c r="CP13" s="360">
        <f t="shared" si="80"/>
        <v>0</v>
      </c>
      <c r="CQ13" s="360">
        <f t="shared" si="81"/>
        <v>0</v>
      </c>
      <c r="CR13" s="360">
        <f t="shared" si="82"/>
        <v>0</v>
      </c>
      <c r="CS13" s="360">
        <f t="shared" si="83"/>
        <v>0</v>
      </c>
      <c r="CT13" s="360">
        <f t="shared" si="84"/>
        <v>0</v>
      </c>
      <c r="CU13" s="360">
        <f t="shared" si="85"/>
        <v>0</v>
      </c>
      <c r="CV13" s="360">
        <f t="shared" si="86"/>
        <v>0</v>
      </c>
      <c r="CW13" s="360">
        <f t="shared" si="87"/>
        <v>0</v>
      </c>
      <c r="CX13" s="360">
        <f t="shared" si="88"/>
        <v>0</v>
      </c>
      <c r="CY13" s="360">
        <f t="shared" si="89"/>
        <v>0</v>
      </c>
      <c r="CZ13" s="360">
        <f t="shared" si="90"/>
        <v>0</v>
      </c>
      <c r="DA13" s="360">
        <f t="shared" si="91"/>
        <v>0</v>
      </c>
      <c r="DB13" s="360">
        <f t="shared" si="92"/>
        <v>0</v>
      </c>
      <c r="DC13" s="360">
        <f t="shared" si="93"/>
        <v>0</v>
      </c>
      <c r="DD13" s="360">
        <f t="shared" si="94"/>
        <v>0</v>
      </c>
      <c r="DE13" s="360">
        <f t="shared" si="95"/>
        <v>0</v>
      </c>
      <c r="DF13" s="360">
        <f t="shared" si="96"/>
        <v>0</v>
      </c>
      <c r="DG13" s="360">
        <f t="shared" si="97"/>
        <v>0</v>
      </c>
      <c r="DH13" s="360">
        <f t="shared" si="98"/>
        <v>0</v>
      </c>
      <c r="DI13" s="360">
        <f t="shared" si="99"/>
        <v>0</v>
      </c>
    </row>
    <row r="14" spans="1:113" ht="28" x14ac:dyDescent="0.3">
      <c r="A14" s="55" t="s">
        <v>1488</v>
      </c>
      <c r="B14" s="139" t="s">
        <v>1489</v>
      </c>
      <c r="C14" s="11" t="s">
        <v>1490</v>
      </c>
      <c r="D14" s="265" t="s">
        <v>297</v>
      </c>
      <c r="E14" s="11" t="s">
        <v>1452</v>
      </c>
      <c r="F14" s="134" t="s">
        <v>1339</v>
      </c>
      <c r="G14" s="175">
        <f>'[1]Costs (Arup)'!C56*3.88</f>
        <v>1164000</v>
      </c>
      <c r="H14" s="114" t="s">
        <v>871</v>
      </c>
      <c r="I14" s="59">
        <v>0</v>
      </c>
      <c r="J14" s="59">
        <f t="shared" si="0"/>
        <v>1164000</v>
      </c>
      <c r="K14" s="126">
        <f t="shared" si="50"/>
        <v>1164000</v>
      </c>
      <c r="L14" s="126" t="s">
        <v>1453</v>
      </c>
      <c r="M14" s="413">
        <f t="shared" si="51"/>
        <v>0</v>
      </c>
      <c r="N14" s="100" t="s">
        <v>402</v>
      </c>
      <c r="O14" s="98"/>
      <c r="P14" s="98"/>
      <c r="Q14" s="98"/>
      <c r="R14" s="9"/>
      <c r="S14" s="9"/>
      <c r="T14" s="103"/>
      <c r="U14" s="242">
        <f>[1]Phasing!D$27</f>
        <v>4.7619047619047616E-2</v>
      </c>
      <c r="V14" s="242">
        <f>[1]Phasing!E$27</f>
        <v>0.47619047619047616</v>
      </c>
      <c r="W14" s="242">
        <f>[1]Phasing!F$27</f>
        <v>0.47619047619047616</v>
      </c>
      <c r="X14" s="245">
        <f>[1]Phasing!G$27</f>
        <v>0</v>
      </c>
      <c r="Y14" s="245">
        <f>[1]Phasing!H$27</f>
        <v>0</v>
      </c>
      <c r="Z14" s="246">
        <f>[1]Phasing!I$27</f>
        <v>0</v>
      </c>
      <c r="AA14" s="131"/>
      <c r="AB14" s="131" t="s">
        <v>239</v>
      </c>
      <c r="AD14" s="274" t="s">
        <v>241</v>
      </c>
      <c r="AE14" s="11"/>
      <c r="AF14" s="97" t="s">
        <v>242</v>
      </c>
      <c r="AG14" s="94" t="s">
        <v>252</v>
      </c>
      <c r="AH14" s="177"/>
      <c r="AI14" s="132"/>
      <c r="AJ14" s="8"/>
      <c r="AK14" s="79">
        <f>$K$14*'[1]Apportionment %'!F5</f>
        <v>439358.2787652011</v>
      </c>
      <c r="AL14" s="79">
        <f>$K$14*'[1]Apportionment %'!G5</f>
        <v>724641.7212347989</v>
      </c>
      <c r="AM14" s="8"/>
      <c r="AN14" s="8"/>
      <c r="AO14" s="8"/>
      <c r="AP14" s="8"/>
      <c r="AQ14" s="8"/>
      <c r="AR14" s="8"/>
      <c r="AS14" s="8"/>
      <c r="AT14" s="8"/>
      <c r="AU14" s="8"/>
      <c r="AV14" s="8"/>
      <c r="AW14" s="8"/>
      <c r="AX14" s="8"/>
      <c r="AY14" s="8"/>
      <c r="AZ14" s="8"/>
      <c r="BA14" s="8"/>
      <c r="BB14" s="8"/>
      <c r="BC14" s="8"/>
      <c r="BD14" s="8"/>
      <c r="BE14" s="8"/>
      <c r="BF14" s="8"/>
      <c r="BG14" s="8"/>
      <c r="BH14" s="8"/>
      <c r="BI14" s="8"/>
      <c r="BJ14" s="8"/>
      <c r="BK14" s="288" t="b">
        <f t="shared" si="1"/>
        <v>1</v>
      </c>
      <c r="BN14" s="360">
        <f t="shared" si="52"/>
        <v>0</v>
      </c>
      <c r="BO14" s="360">
        <f t="shared" si="53"/>
        <v>0</v>
      </c>
      <c r="BP14" s="360">
        <f t="shared" si="54"/>
        <v>0</v>
      </c>
      <c r="BQ14" s="360">
        <f t="shared" si="55"/>
        <v>0</v>
      </c>
      <c r="BR14" s="360">
        <f t="shared" si="56"/>
        <v>0</v>
      </c>
      <c r="BS14" s="360">
        <f t="shared" si="57"/>
        <v>0</v>
      </c>
      <c r="BT14" s="360">
        <f t="shared" si="58"/>
        <v>0</v>
      </c>
      <c r="BU14" s="360">
        <f t="shared" si="59"/>
        <v>0</v>
      </c>
      <c r="BV14" s="360">
        <f t="shared" si="60"/>
        <v>0</v>
      </c>
      <c r="BW14" s="360">
        <f t="shared" si="61"/>
        <v>0</v>
      </c>
      <c r="BX14" s="360">
        <f t="shared" si="62"/>
        <v>0</v>
      </c>
      <c r="BY14" s="360">
        <f t="shared" si="63"/>
        <v>0</v>
      </c>
      <c r="BZ14" s="360">
        <f t="shared" si="64"/>
        <v>0</v>
      </c>
      <c r="CA14" s="360">
        <f t="shared" si="65"/>
        <v>0</v>
      </c>
      <c r="CB14" s="360">
        <f t="shared" si="66"/>
        <v>0</v>
      </c>
      <c r="CC14" s="360">
        <f t="shared" si="67"/>
        <v>0</v>
      </c>
      <c r="CD14" s="360">
        <f t="shared" si="68"/>
        <v>0</v>
      </c>
      <c r="CE14" s="360">
        <f t="shared" si="69"/>
        <v>0</v>
      </c>
      <c r="CF14" s="360">
        <f t="shared" si="70"/>
        <v>20921.82279834291</v>
      </c>
      <c r="CG14" s="360">
        <f t="shared" si="71"/>
        <v>209218.2279834291</v>
      </c>
      <c r="CH14" s="360">
        <f t="shared" si="72"/>
        <v>209218.2279834291</v>
      </c>
      <c r="CI14" s="360">
        <f t="shared" si="73"/>
        <v>0</v>
      </c>
      <c r="CJ14" s="360">
        <f t="shared" si="74"/>
        <v>0</v>
      </c>
      <c r="CK14" s="360">
        <f t="shared" si="75"/>
        <v>0</v>
      </c>
      <c r="CL14" s="360">
        <f t="shared" si="76"/>
        <v>34506.748630228518</v>
      </c>
      <c r="CM14" s="360">
        <f t="shared" si="77"/>
        <v>345067.48630228516</v>
      </c>
      <c r="CN14" s="360">
        <f t="shared" si="78"/>
        <v>345067.48630228516</v>
      </c>
      <c r="CO14" s="360">
        <f t="shared" si="79"/>
        <v>0</v>
      </c>
      <c r="CP14" s="360">
        <f t="shared" si="80"/>
        <v>0</v>
      </c>
      <c r="CQ14" s="360">
        <f t="shared" si="81"/>
        <v>0</v>
      </c>
      <c r="CR14" s="360">
        <f t="shared" si="82"/>
        <v>0</v>
      </c>
      <c r="CS14" s="360">
        <f t="shared" si="83"/>
        <v>0</v>
      </c>
      <c r="CT14" s="360">
        <f t="shared" si="84"/>
        <v>0</v>
      </c>
      <c r="CU14" s="360">
        <f t="shared" si="85"/>
        <v>0</v>
      </c>
      <c r="CV14" s="360">
        <f t="shared" si="86"/>
        <v>0</v>
      </c>
      <c r="CW14" s="360">
        <f t="shared" si="87"/>
        <v>0</v>
      </c>
      <c r="CX14" s="360">
        <f t="shared" si="88"/>
        <v>0</v>
      </c>
      <c r="CY14" s="360">
        <f t="shared" si="89"/>
        <v>0</v>
      </c>
      <c r="CZ14" s="360">
        <f t="shared" si="90"/>
        <v>0</v>
      </c>
      <c r="DA14" s="360">
        <f t="shared" si="91"/>
        <v>0</v>
      </c>
      <c r="DB14" s="360">
        <f t="shared" si="92"/>
        <v>0</v>
      </c>
      <c r="DC14" s="360">
        <f t="shared" si="93"/>
        <v>0</v>
      </c>
      <c r="DD14" s="360">
        <f t="shared" si="94"/>
        <v>0</v>
      </c>
      <c r="DE14" s="360">
        <f t="shared" si="95"/>
        <v>0</v>
      </c>
      <c r="DF14" s="360">
        <f t="shared" si="96"/>
        <v>0</v>
      </c>
      <c r="DG14" s="360">
        <f t="shared" si="97"/>
        <v>0</v>
      </c>
      <c r="DH14" s="360">
        <f t="shared" si="98"/>
        <v>0</v>
      </c>
      <c r="DI14" s="360">
        <f t="shared" si="99"/>
        <v>0</v>
      </c>
    </row>
    <row r="15" spans="1:113" ht="42" x14ac:dyDescent="0.3">
      <c r="A15" s="55" t="s">
        <v>1491</v>
      </c>
      <c r="B15" s="139"/>
      <c r="C15" s="50" t="s">
        <v>1492</v>
      </c>
      <c r="D15" s="265" t="s">
        <v>297</v>
      </c>
      <c r="E15" s="11" t="s">
        <v>1471</v>
      </c>
      <c r="F15" s="134" t="s">
        <v>299</v>
      </c>
      <c r="G15" s="175">
        <f>'[1]Costs (Arup)'!C56*15.23</f>
        <v>4569000</v>
      </c>
      <c r="H15" s="114" t="s">
        <v>871</v>
      </c>
      <c r="I15" s="59">
        <v>0</v>
      </c>
      <c r="J15" s="59">
        <f t="shared" si="0"/>
        <v>4569000</v>
      </c>
      <c r="K15" s="126">
        <f t="shared" si="50"/>
        <v>4569000</v>
      </c>
      <c r="L15" s="126" t="s">
        <v>1453</v>
      </c>
      <c r="M15" s="413">
        <f t="shared" si="51"/>
        <v>0</v>
      </c>
      <c r="N15" s="100" t="s">
        <v>890</v>
      </c>
      <c r="O15" s="98"/>
      <c r="P15" s="98"/>
      <c r="Q15" s="98"/>
      <c r="R15" s="98"/>
      <c r="S15" s="98"/>
      <c r="T15" s="160"/>
      <c r="U15" s="242">
        <f>[1]Phasing!D$29</f>
        <v>2.5529411764705884E-2</v>
      </c>
      <c r="V15" s="242">
        <f>[1]Phasing!E$29</f>
        <v>9.8000000000000004E-2</v>
      </c>
      <c r="W15" s="242">
        <f>[1]Phasing!F$29</f>
        <v>0.11764705882352941</v>
      </c>
      <c r="X15" s="242">
        <f>[1]Phasing!G$29</f>
        <v>0.11764705882352941</v>
      </c>
      <c r="Y15" s="242">
        <f>[1]Phasing!H$29</f>
        <v>0.17647058823529413</v>
      </c>
      <c r="Z15" s="247">
        <f>[1]Phasing!I$29</f>
        <v>0.46470588235294119</v>
      </c>
      <c r="AA15" s="131" t="s">
        <v>1472</v>
      </c>
      <c r="AB15" s="32"/>
      <c r="AC15" s="11" t="s">
        <v>1473</v>
      </c>
      <c r="AD15" s="274" t="s">
        <v>241</v>
      </c>
      <c r="AE15" s="11"/>
      <c r="AF15" s="97" t="s">
        <v>242</v>
      </c>
      <c r="AG15" s="94" t="s">
        <v>252</v>
      </c>
      <c r="AH15" s="177"/>
      <c r="AI15" s="132"/>
      <c r="AJ15" s="8"/>
      <c r="AK15" s="8"/>
      <c r="AL15" s="8"/>
      <c r="AM15" s="79">
        <f>K15</f>
        <v>4569000</v>
      </c>
      <c r="AN15" s="8"/>
      <c r="AO15" s="8"/>
      <c r="AP15" s="8"/>
      <c r="AQ15" s="8"/>
      <c r="AR15" s="8"/>
      <c r="AS15" s="8"/>
      <c r="AT15" s="8"/>
      <c r="AU15" s="8"/>
      <c r="AV15" s="8"/>
      <c r="AW15" s="8"/>
      <c r="AX15" s="8"/>
      <c r="AY15" s="8"/>
      <c r="AZ15" s="8"/>
      <c r="BA15" s="8"/>
      <c r="BB15" s="8"/>
      <c r="BC15" s="8"/>
      <c r="BD15" s="8"/>
      <c r="BE15" s="8"/>
      <c r="BF15" s="8"/>
      <c r="BG15" s="8"/>
      <c r="BH15" s="8"/>
      <c r="BI15" s="8"/>
      <c r="BJ15" s="8"/>
      <c r="BK15" s="288" t="b">
        <f t="shared" si="1"/>
        <v>1</v>
      </c>
      <c r="BN15" s="360">
        <f t="shared" si="52"/>
        <v>0</v>
      </c>
      <c r="BO15" s="360">
        <f t="shared" si="53"/>
        <v>0</v>
      </c>
      <c r="BP15" s="360">
        <f t="shared" si="54"/>
        <v>0</v>
      </c>
      <c r="BQ15" s="360">
        <f t="shared" si="55"/>
        <v>0</v>
      </c>
      <c r="BR15" s="360">
        <f t="shared" si="56"/>
        <v>0</v>
      </c>
      <c r="BS15" s="360">
        <f t="shared" si="57"/>
        <v>0</v>
      </c>
      <c r="BT15" s="360">
        <f t="shared" si="58"/>
        <v>0</v>
      </c>
      <c r="BU15" s="360">
        <f t="shared" si="59"/>
        <v>0</v>
      </c>
      <c r="BV15" s="360">
        <f t="shared" si="60"/>
        <v>0</v>
      </c>
      <c r="BW15" s="360">
        <f t="shared" si="61"/>
        <v>0</v>
      </c>
      <c r="BX15" s="360">
        <f t="shared" si="62"/>
        <v>0</v>
      </c>
      <c r="BY15" s="360">
        <f t="shared" si="63"/>
        <v>0</v>
      </c>
      <c r="BZ15" s="360">
        <f t="shared" si="64"/>
        <v>0</v>
      </c>
      <c r="CA15" s="360">
        <f t="shared" si="65"/>
        <v>0</v>
      </c>
      <c r="CB15" s="360">
        <f t="shared" si="66"/>
        <v>0</v>
      </c>
      <c r="CC15" s="360">
        <f t="shared" si="67"/>
        <v>0</v>
      </c>
      <c r="CD15" s="360">
        <f t="shared" si="68"/>
        <v>0</v>
      </c>
      <c r="CE15" s="360">
        <f t="shared" si="69"/>
        <v>0</v>
      </c>
      <c r="CF15" s="360">
        <f t="shared" si="70"/>
        <v>0</v>
      </c>
      <c r="CG15" s="360">
        <f t="shared" si="71"/>
        <v>0</v>
      </c>
      <c r="CH15" s="360">
        <f t="shared" si="72"/>
        <v>0</v>
      </c>
      <c r="CI15" s="360">
        <f t="shared" si="73"/>
        <v>0</v>
      </c>
      <c r="CJ15" s="360">
        <f t="shared" si="74"/>
        <v>0</v>
      </c>
      <c r="CK15" s="360">
        <f t="shared" si="75"/>
        <v>0</v>
      </c>
      <c r="CL15" s="360">
        <f t="shared" si="76"/>
        <v>0</v>
      </c>
      <c r="CM15" s="360">
        <f t="shared" si="77"/>
        <v>0</v>
      </c>
      <c r="CN15" s="360">
        <f t="shared" si="78"/>
        <v>0</v>
      </c>
      <c r="CO15" s="360">
        <f t="shared" si="79"/>
        <v>0</v>
      </c>
      <c r="CP15" s="360">
        <f t="shared" si="80"/>
        <v>0</v>
      </c>
      <c r="CQ15" s="360">
        <f t="shared" si="81"/>
        <v>0</v>
      </c>
      <c r="CR15" s="360">
        <f t="shared" si="82"/>
        <v>116643.88235294119</v>
      </c>
      <c r="CS15" s="360">
        <f t="shared" si="83"/>
        <v>447762</v>
      </c>
      <c r="CT15" s="360">
        <f t="shared" si="84"/>
        <v>537529.4117647059</v>
      </c>
      <c r="CU15" s="360">
        <f t="shared" si="85"/>
        <v>537529.4117647059</v>
      </c>
      <c r="CV15" s="360">
        <f t="shared" si="86"/>
        <v>806294.11764705891</v>
      </c>
      <c r="CW15" s="360">
        <f t="shared" si="87"/>
        <v>2123241.1764705884</v>
      </c>
      <c r="CX15" s="360">
        <f t="shared" si="88"/>
        <v>0</v>
      </c>
      <c r="CY15" s="360">
        <f t="shared" si="89"/>
        <v>0</v>
      </c>
      <c r="CZ15" s="360">
        <f t="shared" si="90"/>
        <v>0</v>
      </c>
      <c r="DA15" s="360">
        <f t="shared" si="91"/>
        <v>0</v>
      </c>
      <c r="DB15" s="360">
        <f t="shared" si="92"/>
        <v>0</v>
      </c>
      <c r="DC15" s="360">
        <f t="shared" si="93"/>
        <v>0</v>
      </c>
      <c r="DD15" s="360">
        <f t="shared" si="94"/>
        <v>0</v>
      </c>
      <c r="DE15" s="360">
        <f t="shared" si="95"/>
        <v>0</v>
      </c>
      <c r="DF15" s="360">
        <f t="shared" si="96"/>
        <v>0</v>
      </c>
      <c r="DG15" s="360">
        <f t="shared" si="97"/>
        <v>0</v>
      </c>
      <c r="DH15" s="360">
        <f t="shared" si="98"/>
        <v>0</v>
      </c>
      <c r="DI15" s="360">
        <f t="shared" si="99"/>
        <v>0</v>
      </c>
    </row>
    <row r="16" spans="1:113" ht="42" x14ac:dyDescent="0.3">
      <c r="A16" s="55" t="s">
        <v>1493</v>
      </c>
      <c r="B16" s="139"/>
      <c r="C16" s="50" t="s">
        <v>1494</v>
      </c>
      <c r="D16" s="265" t="s">
        <v>297</v>
      </c>
      <c r="E16" s="11" t="s">
        <v>1471</v>
      </c>
      <c r="F16" s="134" t="s">
        <v>299</v>
      </c>
      <c r="G16" s="175">
        <f>'[1]Costs (Arup)'!C56*2.69</f>
        <v>807000</v>
      </c>
      <c r="H16" s="114" t="s">
        <v>871</v>
      </c>
      <c r="I16" s="59">
        <v>0</v>
      </c>
      <c r="J16" s="59">
        <f t="shared" si="0"/>
        <v>807000</v>
      </c>
      <c r="K16" s="126">
        <f t="shared" si="50"/>
        <v>807000</v>
      </c>
      <c r="L16" s="126" t="s">
        <v>1453</v>
      </c>
      <c r="M16" s="413">
        <f t="shared" si="51"/>
        <v>0</v>
      </c>
      <c r="N16" s="100" t="s">
        <v>890</v>
      </c>
      <c r="O16" s="98"/>
      <c r="P16" s="98"/>
      <c r="Q16" s="98"/>
      <c r="R16" s="98"/>
      <c r="S16" s="98"/>
      <c r="T16" s="160"/>
      <c r="U16" s="242">
        <f>[1]Phasing!D$30</f>
        <v>0</v>
      </c>
      <c r="V16" s="242">
        <f>[1]Phasing!E$30</f>
        <v>0.33333333333333331</v>
      </c>
      <c r="W16" s="242">
        <f>[1]Phasing!F$30</f>
        <v>0.33333333333333331</v>
      </c>
      <c r="X16" s="242">
        <f>[1]Phasing!G$30</f>
        <v>0.33333333333333331</v>
      </c>
      <c r="Y16" s="242">
        <f>[1]Phasing!H$30</f>
        <v>0</v>
      </c>
      <c r="Z16" s="247">
        <f>[1]Phasing!I$30</f>
        <v>0</v>
      </c>
      <c r="AA16" s="131" t="s">
        <v>1472</v>
      </c>
      <c r="AB16" s="32"/>
      <c r="AC16" s="11" t="s">
        <v>1473</v>
      </c>
      <c r="AD16" s="274" t="s">
        <v>241</v>
      </c>
      <c r="AE16" s="11"/>
      <c r="AF16" s="97" t="s">
        <v>242</v>
      </c>
      <c r="AG16" s="94" t="s">
        <v>252</v>
      </c>
      <c r="AH16" s="177"/>
      <c r="AI16" s="132"/>
      <c r="AJ16" s="8"/>
      <c r="AK16" s="8"/>
      <c r="AL16" s="8"/>
      <c r="AM16" s="8"/>
      <c r="AN16" s="79">
        <f>K16</f>
        <v>807000</v>
      </c>
      <c r="AO16" s="8"/>
      <c r="AP16" s="8"/>
      <c r="AQ16" s="8"/>
      <c r="AR16" s="8"/>
      <c r="AS16" s="8"/>
      <c r="AT16" s="8"/>
      <c r="AU16" s="8"/>
      <c r="AV16" s="8"/>
      <c r="AW16" s="8"/>
      <c r="AX16" s="8"/>
      <c r="AY16" s="8"/>
      <c r="AZ16" s="8"/>
      <c r="BA16" s="8"/>
      <c r="BB16" s="8"/>
      <c r="BC16" s="8"/>
      <c r="BD16" s="8"/>
      <c r="BE16" s="8"/>
      <c r="BF16" s="8"/>
      <c r="BG16" s="8"/>
      <c r="BH16" s="8"/>
      <c r="BI16" s="8"/>
      <c r="BJ16" s="8"/>
      <c r="BK16" s="288" t="b">
        <f t="shared" si="1"/>
        <v>1</v>
      </c>
      <c r="BN16" s="360">
        <f t="shared" si="52"/>
        <v>0</v>
      </c>
      <c r="BO16" s="360">
        <f t="shared" si="53"/>
        <v>0</v>
      </c>
      <c r="BP16" s="360">
        <f t="shared" si="54"/>
        <v>0</v>
      </c>
      <c r="BQ16" s="360">
        <f t="shared" si="55"/>
        <v>0</v>
      </c>
      <c r="BR16" s="360">
        <f t="shared" si="56"/>
        <v>0</v>
      </c>
      <c r="BS16" s="360">
        <f t="shared" si="57"/>
        <v>0</v>
      </c>
      <c r="BT16" s="360">
        <f t="shared" si="58"/>
        <v>0</v>
      </c>
      <c r="BU16" s="360">
        <f t="shared" si="59"/>
        <v>0</v>
      </c>
      <c r="BV16" s="360">
        <f t="shared" si="60"/>
        <v>0</v>
      </c>
      <c r="BW16" s="360">
        <f t="shared" si="61"/>
        <v>0</v>
      </c>
      <c r="BX16" s="360">
        <f t="shared" si="62"/>
        <v>0</v>
      </c>
      <c r="BY16" s="360">
        <f t="shared" si="63"/>
        <v>0</v>
      </c>
      <c r="BZ16" s="360">
        <f t="shared" si="64"/>
        <v>0</v>
      </c>
      <c r="CA16" s="360">
        <f t="shared" si="65"/>
        <v>0</v>
      </c>
      <c r="CB16" s="360">
        <f t="shared" si="66"/>
        <v>0</v>
      </c>
      <c r="CC16" s="360">
        <f t="shared" si="67"/>
        <v>0</v>
      </c>
      <c r="CD16" s="360">
        <f t="shared" si="68"/>
        <v>0</v>
      </c>
      <c r="CE16" s="360">
        <f t="shared" si="69"/>
        <v>0</v>
      </c>
      <c r="CF16" s="360">
        <f t="shared" si="70"/>
        <v>0</v>
      </c>
      <c r="CG16" s="360">
        <f t="shared" si="71"/>
        <v>0</v>
      </c>
      <c r="CH16" s="360">
        <f t="shared" si="72"/>
        <v>0</v>
      </c>
      <c r="CI16" s="360">
        <f t="shared" si="73"/>
        <v>0</v>
      </c>
      <c r="CJ16" s="360">
        <f t="shared" si="74"/>
        <v>0</v>
      </c>
      <c r="CK16" s="360">
        <f t="shared" si="75"/>
        <v>0</v>
      </c>
      <c r="CL16" s="360">
        <f t="shared" si="76"/>
        <v>0</v>
      </c>
      <c r="CM16" s="360">
        <f t="shared" si="77"/>
        <v>0</v>
      </c>
      <c r="CN16" s="360">
        <f t="shared" si="78"/>
        <v>0</v>
      </c>
      <c r="CO16" s="360">
        <f t="shared" si="79"/>
        <v>0</v>
      </c>
      <c r="CP16" s="360">
        <f t="shared" si="80"/>
        <v>0</v>
      </c>
      <c r="CQ16" s="360">
        <f t="shared" si="81"/>
        <v>0</v>
      </c>
      <c r="CR16" s="360">
        <f t="shared" si="82"/>
        <v>0</v>
      </c>
      <c r="CS16" s="360">
        <f t="shared" si="83"/>
        <v>0</v>
      </c>
      <c r="CT16" s="360">
        <f t="shared" si="84"/>
        <v>0</v>
      </c>
      <c r="CU16" s="360">
        <f t="shared" si="85"/>
        <v>0</v>
      </c>
      <c r="CV16" s="360">
        <f t="shared" si="86"/>
        <v>0</v>
      </c>
      <c r="CW16" s="360">
        <f t="shared" si="87"/>
        <v>0</v>
      </c>
      <c r="CX16" s="360">
        <f t="shared" si="88"/>
        <v>0</v>
      </c>
      <c r="CY16" s="360">
        <f t="shared" si="89"/>
        <v>269000</v>
      </c>
      <c r="CZ16" s="360">
        <f t="shared" si="90"/>
        <v>269000</v>
      </c>
      <c r="DA16" s="360">
        <f t="shared" si="91"/>
        <v>269000</v>
      </c>
      <c r="DB16" s="360">
        <f t="shared" si="92"/>
        <v>0</v>
      </c>
      <c r="DC16" s="360">
        <f t="shared" si="93"/>
        <v>0</v>
      </c>
      <c r="DD16" s="360">
        <f t="shared" si="94"/>
        <v>0</v>
      </c>
      <c r="DE16" s="360">
        <f t="shared" si="95"/>
        <v>0</v>
      </c>
      <c r="DF16" s="360">
        <f t="shared" si="96"/>
        <v>0</v>
      </c>
      <c r="DG16" s="360">
        <f t="shared" si="97"/>
        <v>0</v>
      </c>
      <c r="DH16" s="360">
        <f t="shared" si="98"/>
        <v>0</v>
      </c>
      <c r="DI16" s="360">
        <f t="shared" si="99"/>
        <v>0</v>
      </c>
    </row>
    <row r="17" spans="1:113" ht="42" x14ac:dyDescent="0.3">
      <c r="A17" s="55" t="s">
        <v>1495</v>
      </c>
      <c r="B17" s="139" t="s">
        <v>1483</v>
      </c>
      <c r="C17" s="11" t="s">
        <v>1496</v>
      </c>
      <c r="D17" s="265" t="s">
        <v>297</v>
      </c>
      <c r="E17" s="11" t="s">
        <v>1458</v>
      </c>
      <c r="F17" s="134" t="s">
        <v>299</v>
      </c>
      <c r="G17" s="175">
        <f>'[1]Costs (Arup)'!C56*6.18</f>
        <v>1854000</v>
      </c>
      <c r="H17" s="114" t="s">
        <v>871</v>
      </c>
      <c r="I17" s="59">
        <v>0</v>
      </c>
      <c r="J17" s="59">
        <f>G17-I17</f>
        <v>1854000</v>
      </c>
      <c r="K17" s="126">
        <f>J17</f>
        <v>1854000</v>
      </c>
      <c r="L17" s="126" t="s">
        <v>1453</v>
      </c>
      <c r="M17" s="413">
        <f t="shared" si="51"/>
        <v>0</v>
      </c>
      <c r="N17" s="100" t="s">
        <v>1183</v>
      </c>
      <c r="O17" s="98"/>
      <c r="P17" s="98"/>
      <c r="Q17" s="98"/>
      <c r="R17" s="26"/>
      <c r="S17" s="26"/>
      <c r="T17" s="170"/>
      <c r="U17" s="242">
        <f>[1]Phasing!D$31</f>
        <v>0.17959895379250218</v>
      </c>
      <c r="V17" s="242">
        <f>[1]Phasing!E$31</f>
        <v>0.1054925893635571</v>
      </c>
      <c r="W17" s="242">
        <f>[1]Phasing!F$31</f>
        <v>0.71490845684394067</v>
      </c>
      <c r="X17" s="243">
        <f>[1]Phasing!G$31</f>
        <v>0</v>
      </c>
      <c r="Y17" s="243">
        <f>[1]Phasing!H$31</f>
        <v>0</v>
      </c>
      <c r="Z17" s="244">
        <f>[1]Phasing!I$31</f>
        <v>0</v>
      </c>
      <c r="AA17" s="131" t="s">
        <v>1353</v>
      </c>
      <c r="AB17" s="131" t="s">
        <v>1461</v>
      </c>
      <c r="AC17" s="11" t="s">
        <v>1462</v>
      </c>
      <c r="AD17" s="274" t="s">
        <v>241</v>
      </c>
      <c r="AE17" s="11"/>
      <c r="AF17" s="405" t="s">
        <v>461</v>
      </c>
      <c r="AG17" s="173" t="s">
        <v>875</v>
      </c>
      <c r="AH17" s="177"/>
      <c r="AI17" s="132"/>
      <c r="AJ17" s="8"/>
      <c r="AK17" s="8"/>
      <c r="AL17" s="8"/>
      <c r="AM17" s="8"/>
      <c r="AN17" s="8"/>
      <c r="AO17" s="79">
        <f>$K$17*'[1]Apportionment %'!J6</f>
        <v>1050653.8796861379</v>
      </c>
      <c r="AP17" s="79">
        <f>$K$17*'[1]Apportionment %'!K6</f>
        <v>113147.34088927637</v>
      </c>
      <c r="AQ17" s="79">
        <f>$K$17*'[1]Apportionment %'!L6</f>
        <v>111530.95030514385</v>
      </c>
      <c r="AR17" s="79">
        <f>$K$17*'[1]Apportionment %'!M6</f>
        <v>67888.404533565816</v>
      </c>
      <c r="AS17" s="79">
        <f>$K$17*'[1]Apportionment %'!N6</f>
        <v>58190.061028770702</v>
      </c>
      <c r="AT17" s="79">
        <f>$K$17*'[1]Apportionment %'!O6</f>
        <v>56573.670444638185</v>
      </c>
      <c r="AU17" s="79">
        <f>$K$17*'[1]Apportionment %'!P6</f>
        <v>56573.670444638185</v>
      </c>
      <c r="AV17" s="79">
        <f>$K$17*'[1]Apportionment %'!Q6</f>
        <v>56573.670444638185</v>
      </c>
      <c r="AW17" s="79">
        <f>$K$17*'[1]Apportionment %'!R6</f>
        <v>37176.98343504795</v>
      </c>
      <c r="AX17" s="79">
        <f>$K$17*'[1]Apportionment %'!S6</f>
        <v>32327.81168265039</v>
      </c>
      <c r="AY17" s="79">
        <f>$K$17*'[1]Apportionment %'!T6</f>
        <v>25862.249346120316</v>
      </c>
      <c r="AZ17" s="79">
        <f>$K$17*'[1]Apportionment %'!U6</f>
        <v>25862.249346120316</v>
      </c>
      <c r="BA17" s="79">
        <f>$K$17*'[1]Apportionment %'!V6</f>
        <v>24245.858761987794</v>
      </c>
      <c r="BB17" s="79">
        <f>$K$17*'[1]Apportionment %'!W6</f>
        <v>21013.077593722755</v>
      </c>
      <c r="BC17" s="79">
        <f>$K$17*'[1]Apportionment %'!X6</f>
        <v>19396.687009590238</v>
      </c>
      <c r="BD17" s="79">
        <f>$K$17*'[1]Apportionment %'!Y6</f>
        <v>16163.905841325195</v>
      </c>
      <c r="BE17" s="79">
        <f>$K$17*'[1]Apportionment %'!Z6</f>
        <v>16163.905841325195</v>
      </c>
      <c r="BF17" s="79">
        <f>$K$17*'[1]Apportionment %'!AA6</f>
        <v>16163.905841325195</v>
      </c>
      <c r="BG17" s="79">
        <f>$K$17*'[1]Apportionment %'!AB6</f>
        <v>16163.905841325195</v>
      </c>
      <c r="BH17" s="79">
        <f>$K$17*'[1]Apportionment %'!AC6</f>
        <v>16163.905841325195</v>
      </c>
      <c r="BI17" s="79">
        <f>$K$17*'[1]Apportionment %'!AD6</f>
        <v>16163.905841325195</v>
      </c>
      <c r="BJ17" s="8"/>
      <c r="BK17" s="288" t="b">
        <f t="shared" si="1"/>
        <v>1</v>
      </c>
      <c r="BN17" s="360">
        <f t="shared" si="52"/>
        <v>0</v>
      </c>
      <c r="BO17" s="360">
        <f t="shared" si="53"/>
        <v>0</v>
      </c>
      <c r="BP17" s="360">
        <f t="shared" si="54"/>
        <v>0</v>
      </c>
      <c r="BQ17" s="360">
        <f t="shared" si="55"/>
        <v>0</v>
      </c>
      <c r="BR17" s="360">
        <f t="shared" si="56"/>
        <v>0</v>
      </c>
      <c r="BS17" s="360">
        <f t="shared" si="57"/>
        <v>0</v>
      </c>
      <c r="BT17" s="360">
        <f t="shared" si="58"/>
        <v>0</v>
      </c>
      <c r="BU17" s="360">
        <f t="shared" si="59"/>
        <v>0</v>
      </c>
      <c r="BV17" s="360">
        <f t="shared" si="60"/>
        <v>0</v>
      </c>
      <c r="BW17" s="360">
        <f t="shared" si="61"/>
        <v>0</v>
      </c>
      <c r="BX17" s="360">
        <f t="shared" si="62"/>
        <v>0</v>
      </c>
      <c r="BY17" s="360">
        <f t="shared" si="63"/>
        <v>0</v>
      </c>
      <c r="BZ17" s="360">
        <f t="shared" si="64"/>
        <v>0</v>
      </c>
      <c r="CA17" s="360">
        <f t="shared" si="65"/>
        <v>0</v>
      </c>
      <c r="CB17" s="360">
        <f t="shared" si="66"/>
        <v>0</v>
      </c>
      <c r="CC17" s="360">
        <f t="shared" si="67"/>
        <v>0</v>
      </c>
      <c r="CD17" s="360">
        <f t="shared" si="68"/>
        <v>0</v>
      </c>
      <c r="CE17" s="360">
        <f t="shared" si="69"/>
        <v>0</v>
      </c>
      <c r="CF17" s="360">
        <f t="shared" si="70"/>
        <v>0</v>
      </c>
      <c r="CG17" s="360">
        <f t="shared" si="71"/>
        <v>0</v>
      </c>
      <c r="CH17" s="360">
        <f t="shared" si="72"/>
        <v>0</v>
      </c>
      <c r="CI17" s="360">
        <f t="shared" si="73"/>
        <v>0</v>
      </c>
      <c r="CJ17" s="360">
        <f t="shared" si="74"/>
        <v>0</v>
      </c>
      <c r="CK17" s="360">
        <f t="shared" si="75"/>
        <v>0</v>
      </c>
      <c r="CL17" s="360">
        <f t="shared" si="76"/>
        <v>0</v>
      </c>
      <c r="CM17" s="360">
        <f t="shared" si="77"/>
        <v>0</v>
      </c>
      <c r="CN17" s="360">
        <f t="shared" si="78"/>
        <v>0</v>
      </c>
      <c r="CO17" s="360">
        <f t="shared" si="79"/>
        <v>0</v>
      </c>
      <c r="CP17" s="360">
        <f t="shared" si="80"/>
        <v>0</v>
      </c>
      <c r="CQ17" s="360">
        <f t="shared" si="81"/>
        <v>0</v>
      </c>
      <c r="CR17" s="360">
        <f t="shared" si="82"/>
        <v>0</v>
      </c>
      <c r="CS17" s="360">
        <f t="shared" si="83"/>
        <v>0</v>
      </c>
      <c r="CT17" s="360">
        <f t="shared" si="84"/>
        <v>0</v>
      </c>
      <c r="CU17" s="360">
        <f t="shared" si="85"/>
        <v>0</v>
      </c>
      <c r="CV17" s="360">
        <f t="shared" si="86"/>
        <v>0</v>
      </c>
      <c r="CW17" s="360">
        <f t="shared" si="87"/>
        <v>0</v>
      </c>
      <c r="CX17" s="360">
        <f t="shared" si="88"/>
        <v>0</v>
      </c>
      <c r="CY17" s="360">
        <f t="shared" si="89"/>
        <v>0</v>
      </c>
      <c r="CZ17" s="360">
        <f t="shared" si="90"/>
        <v>0</v>
      </c>
      <c r="DA17" s="360">
        <f t="shared" si="91"/>
        <v>0</v>
      </c>
      <c r="DB17" s="360">
        <f t="shared" si="92"/>
        <v>0</v>
      </c>
      <c r="DC17" s="360">
        <f t="shared" si="93"/>
        <v>0</v>
      </c>
      <c r="DD17" s="360">
        <f t="shared" si="94"/>
        <v>188696.33758966383</v>
      </c>
      <c r="DE17" s="360">
        <f t="shared" si="95"/>
        <v>110836.19829295787</v>
      </c>
      <c r="DF17" s="360">
        <f t="shared" si="96"/>
        <v>751121.34380351612</v>
      </c>
      <c r="DG17" s="360">
        <f t="shared" si="97"/>
        <v>0</v>
      </c>
      <c r="DH17" s="360">
        <f t="shared" si="98"/>
        <v>0</v>
      </c>
      <c r="DI17" s="360">
        <f t="shared" si="99"/>
        <v>0</v>
      </c>
    </row>
    <row r="18" spans="1:113" s="348" customFormat="1" x14ac:dyDescent="0.35">
      <c r="A18" s="411" t="s">
        <v>1497</v>
      </c>
      <c r="B18" s="138"/>
      <c r="C18" s="38"/>
      <c r="D18" s="38"/>
      <c r="E18" s="38"/>
      <c r="F18" s="167"/>
      <c r="G18" s="166"/>
      <c r="H18" s="41"/>
      <c r="I18" s="41"/>
      <c r="J18" s="41"/>
      <c r="K18" s="41"/>
      <c r="L18" s="41"/>
      <c r="M18" s="414"/>
      <c r="N18" s="169"/>
      <c r="O18" s="38"/>
      <c r="P18" s="38"/>
      <c r="Q18" s="38"/>
      <c r="R18" s="38"/>
      <c r="S18" s="38"/>
      <c r="T18" s="415"/>
      <c r="U18" s="229"/>
      <c r="V18" s="229"/>
      <c r="W18" s="229"/>
      <c r="X18" s="229"/>
      <c r="Y18" s="229"/>
      <c r="Z18" s="230"/>
      <c r="AA18" s="169"/>
      <c r="AB18" s="60"/>
      <c r="AC18" s="37"/>
      <c r="AD18" s="37"/>
      <c r="AE18" s="37"/>
      <c r="AF18" s="36"/>
      <c r="AG18" s="172"/>
      <c r="AH18" s="178"/>
      <c r="AI18" s="133"/>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288"/>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row>
    <row r="19" spans="1:113" ht="28" x14ac:dyDescent="0.3">
      <c r="A19" s="55" t="s">
        <v>1498</v>
      </c>
      <c r="B19" s="139"/>
      <c r="C19" s="11" t="s">
        <v>1499</v>
      </c>
      <c r="D19" s="265" t="s">
        <v>297</v>
      </c>
      <c r="E19" s="11" t="s">
        <v>1452</v>
      </c>
      <c r="F19" s="134" t="s">
        <v>299</v>
      </c>
      <c r="G19" s="175">
        <f>'[1]Costs (Arup)'!C57*3.15</f>
        <v>157500</v>
      </c>
      <c r="H19" s="114" t="s">
        <v>871</v>
      </c>
      <c r="I19" s="59">
        <v>0</v>
      </c>
      <c r="J19" s="59">
        <f>G19-I19</f>
        <v>157500</v>
      </c>
      <c r="K19" s="126">
        <f t="shared" si="50"/>
        <v>157500</v>
      </c>
      <c r="L19" s="126" t="s">
        <v>1453</v>
      </c>
      <c r="M19" s="413">
        <f t="shared" si="51"/>
        <v>0</v>
      </c>
      <c r="N19" s="100" t="s">
        <v>265</v>
      </c>
      <c r="O19" s="26"/>
      <c r="P19" s="98"/>
      <c r="Q19" s="98"/>
      <c r="R19" s="26"/>
      <c r="S19" s="26"/>
      <c r="T19" s="170"/>
      <c r="U19" s="243">
        <f>[1]Phasing!D22</f>
        <v>0</v>
      </c>
      <c r="V19" s="242">
        <f>[1]Phasing!E22</f>
        <v>0.33333333333333331</v>
      </c>
      <c r="W19" s="242">
        <f>[1]Phasing!F22</f>
        <v>0.66666666666666663</v>
      </c>
      <c r="X19" s="243">
        <f>[1]Phasing!G22</f>
        <v>0</v>
      </c>
      <c r="Y19" s="243">
        <f>[1]Phasing!H22</f>
        <v>0</v>
      </c>
      <c r="Z19" s="244">
        <f>[1]Phasing!I22</f>
        <v>0</v>
      </c>
      <c r="AA19" s="131"/>
      <c r="AB19" s="131" t="s">
        <v>239</v>
      </c>
      <c r="AC19" s="11" t="s">
        <v>1454</v>
      </c>
      <c r="AD19" s="274" t="s">
        <v>241</v>
      </c>
      <c r="AE19" s="11"/>
      <c r="AF19" s="97" t="s">
        <v>242</v>
      </c>
      <c r="AG19" s="94" t="s">
        <v>252</v>
      </c>
      <c r="AH19" s="180">
        <f>K19</f>
        <v>157500</v>
      </c>
      <c r="AI19" s="132"/>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288" t="b">
        <f t="shared" si="1"/>
        <v>1</v>
      </c>
      <c r="BN19" s="360">
        <f t="shared" ref="BN19:BN25" si="100">$U19*AH19</f>
        <v>0</v>
      </c>
      <c r="BO19" s="360">
        <f t="shared" ref="BO19:BO25" si="101">$V19*AH19</f>
        <v>52500</v>
      </c>
      <c r="BP19" s="360">
        <f t="shared" ref="BP19:BP25" si="102">$W19*AH19</f>
        <v>105000</v>
      </c>
      <c r="BQ19" s="360">
        <f t="shared" ref="BQ19:BQ25" si="103">$X19*AH19</f>
        <v>0</v>
      </c>
      <c r="BR19" s="360">
        <f t="shared" ref="BR19:BR25" si="104">$Y19*AH19</f>
        <v>0</v>
      </c>
      <c r="BS19" s="360">
        <f t="shared" ref="BS19:BS25" si="105">$Z19*AH19</f>
        <v>0</v>
      </c>
      <c r="BT19" s="360">
        <f t="shared" ref="BT19:BT25" si="106">$U19*AI19</f>
        <v>0</v>
      </c>
      <c r="BU19" s="360">
        <f t="shared" ref="BU19:BU25" si="107">$V19*AI19</f>
        <v>0</v>
      </c>
      <c r="BV19" s="360">
        <f t="shared" ref="BV19:BV25" si="108">$W19*AI19</f>
        <v>0</v>
      </c>
      <c r="BW19" s="360">
        <f t="shared" ref="BW19:BW25" si="109">$X19*AI19</f>
        <v>0</v>
      </c>
      <c r="BX19" s="360">
        <f t="shared" ref="BX19:BX25" si="110">$Y19*AI19</f>
        <v>0</v>
      </c>
      <c r="BY19" s="360">
        <f t="shared" ref="BY19:BY25" si="111">$Z19*AI19</f>
        <v>0</v>
      </c>
      <c r="BZ19" s="360">
        <f t="shared" ref="BZ19:BZ25" si="112">$U19*AJ19</f>
        <v>0</v>
      </c>
      <c r="CA19" s="360">
        <f t="shared" ref="CA19:CA25" si="113">$V19*AJ19</f>
        <v>0</v>
      </c>
      <c r="CB19" s="360">
        <f t="shared" ref="CB19:CB25" si="114">$W19*AJ19</f>
        <v>0</v>
      </c>
      <c r="CC19" s="360">
        <f t="shared" ref="CC19:CC25" si="115">$X19*AJ19</f>
        <v>0</v>
      </c>
      <c r="CD19" s="360">
        <f t="shared" ref="CD19:CD25" si="116">$Y19*AJ19</f>
        <v>0</v>
      </c>
      <c r="CE19" s="360">
        <f t="shared" ref="CE19:CE25" si="117">$Z19*AJ19</f>
        <v>0</v>
      </c>
      <c r="CF19" s="360">
        <f t="shared" ref="CF19:CF25" si="118">$U19*AK19</f>
        <v>0</v>
      </c>
      <c r="CG19" s="360">
        <f t="shared" ref="CG19:CG25" si="119">$V19*AK19</f>
        <v>0</v>
      </c>
      <c r="CH19" s="360">
        <f t="shared" ref="CH19:CH25" si="120">$W19*AK19</f>
        <v>0</v>
      </c>
      <c r="CI19" s="360">
        <f t="shared" ref="CI19:CI25" si="121">$X19*AK19</f>
        <v>0</v>
      </c>
      <c r="CJ19" s="360">
        <f t="shared" ref="CJ19:CJ25" si="122">$Y19*AK19</f>
        <v>0</v>
      </c>
      <c r="CK19" s="360">
        <f t="shared" ref="CK19:CK25" si="123">$Z19*AK19</f>
        <v>0</v>
      </c>
      <c r="CL19" s="360">
        <f t="shared" ref="CL19:CL25" si="124">$U19*AL19</f>
        <v>0</v>
      </c>
      <c r="CM19" s="360">
        <f t="shared" ref="CM19:CM25" si="125">$V19*AL19</f>
        <v>0</v>
      </c>
      <c r="CN19" s="360">
        <f t="shared" ref="CN19:CN25" si="126">$W19*AL19</f>
        <v>0</v>
      </c>
      <c r="CO19" s="360">
        <f t="shared" ref="CO19:CO25" si="127">$X19*AL19</f>
        <v>0</v>
      </c>
      <c r="CP19" s="360">
        <f t="shared" ref="CP19:CP25" si="128">$Y19*AL19</f>
        <v>0</v>
      </c>
      <c r="CQ19" s="360">
        <f t="shared" ref="CQ19:CQ25" si="129">$Z19*AL19</f>
        <v>0</v>
      </c>
      <c r="CR19" s="360">
        <f t="shared" ref="CR19:CR25" si="130">$U19*AM19</f>
        <v>0</v>
      </c>
      <c r="CS19" s="360">
        <f t="shared" ref="CS19:CS25" si="131">$V19*AM19</f>
        <v>0</v>
      </c>
      <c r="CT19" s="360">
        <f t="shared" ref="CT19:CT25" si="132">$W19*AM19</f>
        <v>0</v>
      </c>
      <c r="CU19" s="360">
        <f t="shared" ref="CU19:CU25" si="133">$X19*AM19</f>
        <v>0</v>
      </c>
      <c r="CV19" s="360">
        <f t="shared" ref="CV19:CV25" si="134">$Y19*AM19</f>
        <v>0</v>
      </c>
      <c r="CW19" s="360">
        <f t="shared" ref="CW19:CW25" si="135">$Z19*AM19</f>
        <v>0</v>
      </c>
      <c r="CX19" s="360">
        <f t="shared" ref="CX19:CX25" si="136">$U19*AN19</f>
        <v>0</v>
      </c>
      <c r="CY19" s="360">
        <f t="shared" ref="CY19:CY25" si="137">$V19*AN19</f>
        <v>0</v>
      </c>
      <c r="CZ19" s="360">
        <f t="shared" ref="CZ19:CZ25" si="138">$W19*AN19</f>
        <v>0</v>
      </c>
      <c r="DA19" s="360">
        <f t="shared" ref="DA19:DA25" si="139">$X19*AN19</f>
        <v>0</v>
      </c>
      <c r="DB19" s="360">
        <f t="shared" ref="DB19:DB25" si="140">$Y19*AN19</f>
        <v>0</v>
      </c>
      <c r="DC19" s="360">
        <f t="shared" ref="DC19:DC25" si="141">$Z19*AN19</f>
        <v>0</v>
      </c>
      <c r="DD19" s="360">
        <f t="shared" ref="DD19:DD25" si="142">$U19*AO19</f>
        <v>0</v>
      </c>
      <c r="DE19" s="360">
        <f t="shared" ref="DE19:DE25" si="143">$V19*AO19</f>
        <v>0</v>
      </c>
      <c r="DF19" s="360">
        <f t="shared" ref="DF19:DF25" si="144">$W19*AO19</f>
        <v>0</v>
      </c>
      <c r="DG19" s="360">
        <f t="shared" ref="DG19:DG25" si="145">$X19*AO19</f>
        <v>0</v>
      </c>
      <c r="DH19" s="360">
        <f t="shared" ref="DH19:DH25" si="146">$Y19*AO19</f>
        <v>0</v>
      </c>
      <c r="DI19" s="360">
        <f t="shared" ref="DI19:DI25" si="147">$Z19*AO19</f>
        <v>0</v>
      </c>
    </row>
    <row r="20" spans="1:113" ht="56" x14ac:dyDescent="0.3">
      <c r="A20" s="55" t="s">
        <v>1500</v>
      </c>
      <c r="B20" s="139" t="s">
        <v>1501</v>
      </c>
      <c r="C20" s="11" t="s">
        <v>1502</v>
      </c>
      <c r="D20" s="265" t="s">
        <v>297</v>
      </c>
      <c r="E20" s="11" t="s">
        <v>1458</v>
      </c>
      <c r="F20" s="134" t="s">
        <v>299</v>
      </c>
      <c r="G20" s="175">
        <f>'[1]Costs (Arup)'!C57*15.56</f>
        <v>778000</v>
      </c>
      <c r="H20" s="114" t="s">
        <v>871</v>
      </c>
      <c r="I20" s="59">
        <v>0</v>
      </c>
      <c r="J20" s="59">
        <f t="shared" si="0"/>
        <v>778000</v>
      </c>
      <c r="K20" s="126">
        <f t="shared" si="50"/>
        <v>778000</v>
      </c>
      <c r="L20" s="126" t="s">
        <v>1453</v>
      </c>
      <c r="M20" s="413">
        <f t="shared" si="51"/>
        <v>0</v>
      </c>
      <c r="N20" s="100" t="s">
        <v>1459</v>
      </c>
      <c r="O20" s="98"/>
      <c r="P20" s="98"/>
      <c r="Q20" s="98"/>
      <c r="R20" s="26"/>
      <c r="S20" s="26"/>
      <c r="T20" s="170"/>
      <c r="U20" s="242">
        <f>[1]Phasing!D23</f>
        <v>0.28846153846153844</v>
      </c>
      <c r="V20" s="242">
        <f>[1]Phasing!E23</f>
        <v>0.44230769230769229</v>
      </c>
      <c r="W20" s="242">
        <f>[1]Phasing!F23</f>
        <v>0.26923076923076922</v>
      </c>
      <c r="X20" s="243">
        <f>[1]Phasing!G23</f>
        <v>0</v>
      </c>
      <c r="Y20" s="243">
        <f>[1]Phasing!H23</f>
        <v>0</v>
      </c>
      <c r="Z20" s="244">
        <f>[1]Phasing!I23</f>
        <v>0</v>
      </c>
      <c r="AA20" s="131" t="s">
        <v>1460</v>
      </c>
      <c r="AB20" s="131" t="s">
        <v>1461</v>
      </c>
      <c r="AC20" s="11" t="s">
        <v>1462</v>
      </c>
      <c r="AD20" s="274" t="s">
        <v>241</v>
      </c>
      <c r="AE20" s="11"/>
      <c r="AF20" s="97" t="s">
        <v>242</v>
      </c>
      <c r="AG20" s="94" t="s">
        <v>252</v>
      </c>
      <c r="AH20" s="177"/>
      <c r="AI20" s="163">
        <f>K20</f>
        <v>778000</v>
      </c>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288" t="b">
        <f t="shared" si="1"/>
        <v>1</v>
      </c>
      <c r="BN20" s="360">
        <f t="shared" si="100"/>
        <v>0</v>
      </c>
      <c r="BO20" s="360">
        <f t="shared" si="101"/>
        <v>0</v>
      </c>
      <c r="BP20" s="360">
        <f t="shared" si="102"/>
        <v>0</v>
      </c>
      <c r="BQ20" s="360">
        <f t="shared" si="103"/>
        <v>0</v>
      </c>
      <c r="BR20" s="360">
        <f t="shared" si="104"/>
        <v>0</v>
      </c>
      <c r="BS20" s="360">
        <f t="shared" si="105"/>
        <v>0</v>
      </c>
      <c r="BT20" s="360">
        <f t="shared" si="106"/>
        <v>224423.07692307691</v>
      </c>
      <c r="BU20" s="360">
        <f t="shared" si="107"/>
        <v>344115.38461538462</v>
      </c>
      <c r="BV20" s="360">
        <f t="shared" si="108"/>
        <v>209461.53846153844</v>
      </c>
      <c r="BW20" s="360">
        <f t="shared" si="109"/>
        <v>0</v>
      </c>
      <c r="BX20" s="360">
        <f t="shared" si="110"/>
        <v>0</v>
      </c>
      <c r="BY20" s="360">
        <f t="shared" si="111"/>
        <v>0</v>
      </c>
      <c r="BZ20" s="360">
        <f t="shared" si="112"/>
        <v>0</v>
      </c>
      <c r="CA20" s="360">
        <f t="shared" si="113"/>
        <v>0</v>
      </c>
      <c r="CB20" s="360">
        <f t="shared" si="114"/>
        <v>0</v>
      </c>
      <c r="CC20" s="360">
        <f t="shared" si="115"/>
        <v>0</v>
      </c>
      <c r="CD20" s="360">
        <f t="shared" si="116"/>
        <v>0</v>
      </c>
      <c r="CE20" s="360">
        <f t="shared" si="117"/>
        <v>0</v>
      </c>
      <c r="CF20" s="360">
        <f t="shared" si="118"/>
        <v>0</v>
      </c>
      <c r="CG20" s="360">
        <f t="shared" si="119"/>
        <v>0</v>
      </c>
      <c r="CH20" s="360">
        <f t="shared" si="120"/>
        <v>0</v>
      </c>
      <c r="CI20" s="360">
        <f t="shared" si="121"/>
        <v>0</v>
      </c>
      <c r="CJ20" s="360">
        <f t="shared" si="122"/>
        <v>0</v>
      </c>
      <c r="CK20" s="360">
        <f t="shared" si="123"/>
        <v>0</v>
      </c>
      <c r="CL20" s="360">
        <f t="shared" si="124"/>
        <v>0</v>
      </c>
      <c r="CM20" s="360">
        <f t="shared" si="125"/>
        <v>0</v>
      </c>
      <c r="CN20" s="360">
        <f t="shared" si="126"/>
        <v>0</v>
      </c>
      <c r="CO20" s="360">
        <f t="shared" si="127"/>
        <v>0</v>
      </c>
      <c r="CP20" s="360">
        <f t="shared" si="128"/>
        <v>0</v>
      </c>
      <c r="CQ20" s="360">
        <f t="shared" si="129"/>
        <v>0</v>
      </c>
      <c r="CR20" s="360">
        <f t="shared" si="130"/>
        <v>0</v>
      </c>
      <c r="CS20" s="360">
        <f t="shared" si="131"/>
        <v>0</v>
      </c>
      <c r="CT20" s="360">
        <f t="shared" si="132"/>
        <v>0</v>
      </c>
      <c r="CU20" s="360">
        <f t="shared" si="133"/>
        <v>0</v>
      </c>
      <c r="CV20" s="360">
        <f t="shared" si="134"/>
        <v>0</v>
      </c>
      <c r="CW20" s="360">
        <f t="shared" si="135"/>
        <v>0</v>
      </c>
      <c r="CX20" s="360">
        <f t="shared" si="136"/>
        <v>0</v>
      </c>
      <c r="CY20" s="360">
        <f t="shared" si="137"/>
        <v>0</v>
      </c>
      <c r="CZ20" s="360">
        <f t="shared" si="138"/>
        <v>0</v>
      </c>
      <c r="DA20" s="360">
        <f t="shared" si="139"/>
        <v>0</v>
      </c>
      <c r="DB20" s="360">
        <f t="shared" si="140"/>
        <v>0</v>
      </c>
      <c r="DC20" s="360">
        <f t="shared" si="141"/>
        <v>0</v>
      </c>
      <c r="DD20" s="360">
        <f t="shared" si="142"/>
        <v>0</v>
      </c>
      <c r="DE20" s="360">
        <f t="shared" si="143"/>
        <v>0</v>
      </c>
      <c r="DF20" s="360">
        <f t="shared" si="144"/>
        <v>0</v>
      </c>
      <c r="DG20" s="360">
        <f t="shared" si="145"/>
        <v>0</v>
      </c>
      <c r="DH20" s="360">
        <f t="shared" si="146"/>
        <v>0</v>
      </c>
      <c r="DI20" s="360">
        <f t="shared" si="147"/>
        <v>0</v>
      </c>
    </row>
    <row r="21" spans="1:113" ht="28" x14ac:dyDescent="0.3">
      <c r="A21" s="55" t="s">
        <v>1503</v>
      </c>
      <c r="B21" s="139"/>
      <c r="C21" s="11" t="s">
        <v>1504</v>
      </c>
      <c r="D21" s="265" t="s">
        <v>297</v>
      </c>
      <c r="E21" s="11" t="s">
        <v>1452</v>
      </c>
      <c r="F21" s="134" t="s">
        <v>299</v>
      </c>
      <c r="G21" s="175">
        <f>'[1]Costs (Arup)'!C57*4.44</f>
        <v>222000.00000000003</v>
      </c>
      <c r="H21" s="114" t="s">
        <v>871</v>
      </c>
      <c r="I21" s="59">
        <v>0</v>
      </c>
      <c r="J21" s="59">
        <f t="shared" si="0"/>
        <v>222000.00000000003</v>
      </c>
      <c r="K21" s="126">
        <f t="shared" si="50"/>
        <v>222000.00000000003</v>
      </c>
      <c r="L21" s="126" t="s">
        <v>1453</v>
      </c>
      <c r="M21" s="413">
        <f t="shared" si="51"/>
        <v>0</v>
      </c>
      <c r="N21" s="100" t="s">
        <v>402</v>
      </c>
      <c r="O21" s="98"/>
      <c r="P21" s="98"/>
      <c r="Q21" s="98"/>
      <c r="R21" s="26"/>
      <c r="S21" s="26"/>
      <c r="T21" s="170"/>
      <c r="U21" s="242">
        <f>[1]Phasing!D24</f>
        <v>4.7619047619047616E-2</v>
      </c>
      <c r="V21" s="242">
        <f>[1]Phasing!E24</f>
        <v>0.47619047619047616</v>
      </c>
      <c r="W21" s="242">
        <f>[1]Phasing!F24</f>
        <v>0.47619047619047616</v>
      </c>
      <c r="X21" s="243">
        <f>[1]Phasing!G24</f>
        <v>0</v>
      </c>
      <c r="Y21" s="243">
        <f>[1]Phasing!H24</f>
        <v>0</v>
      </c>
      <c r="Z21" s="244">
        <f>[1]Phasing!I24</f>
        <v>0</v>
      </c>
      <c r="AA21" s="131"/>
      <c r="AB21" s="131" t="s">
        <v>239</v>
      </c>
      <c r="AC21" s="11" t="s">
        <v>1454</v>
      </c>
      <c r="AD21" s="274" t="s">
        <v>241</v>
      </c>
      <c r="AE21" s="11"/>
      <c r="AF21" s="97" t="s">
        <v>242</v>
      </c>
      <c r="AG21" s="94" t="s">
        <v>252</v>
      </c>
      <c r="AH21" s="177"/>
      <c r="AI21" s="132"/>
      <c r="AJ21" s="87">
        <f>K21</f>
        <v>222000.00000000003</v>
      </c>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288" t="b">
        <f t="shared" si="1"/>
        <v>1</v>
      </c>
      <c r="BN21" s="360">
        <f t="shared" si="100"/>
        <v>0</v>
      </c>
      <c r="BO21" s="360">
        <f t="shared" si="101"/>
        <v>0</v>
      </c>
      <c r="BP21" s="360">
        <f t="shared" si="102"/>
        <v>0</v>
      </c>
      <c r="BQ21" s="360">
        <f t="shared" si="103"/>
        <v>0</v>
      </c>
      <c r="BR21" s="360">
        <f t="shared" si="104"/>
        <v>0</v>
      </c>
      <c r="BS21" s="360">
        <f t="shared" si="105"/>
        <v>0</v>
      </c>
      <c r="BT21" s="360">
        <f t="shared" si="106"/>
        <v>0</v>
      </c>
      <c r="BU21" s="360">
        <f t="shared" si="107"/>
        <v>0</v>
      </c>
      <c r="BV21" s="360">
        <f t="shared" si="108"/>
        <v>0</v>
      </c>
      <c r="BW21" s="360">
        <f t="shared" si="109"/>
        <v>0</v>
      </c>
      <c r="BX21" s="360">
        <f t="shared" si="110"/>
        <v>0</v>
      </c>
      <c r="BY21" s="360">
        <f t="shared" si="111"/>
        <v>0</v>
      </c>
      <c r="BZ21" s="360">
        <f t="shared" si="112"/>
        <v>10571.428571428572</v>
      </c>
      <c r="CA21" s="360">
        <f t="shared" si="113"/>
        <v>105714.28571428572</v>
      </c>
      <c r="CB21" s="360">
        <f t="shared" si="114"/>
        <v>105714.28571428572</v>
      </c>
      <c r="CC21" s="360">
        <f t="shared" si="115"/>
        <v>0</v>
      </c>
      <c r="CD21" s="360">
        <f t="shared" si="116"/>
        <v>0</v>
      </c>
      <c r="CE21" s="360">
        <f t="shared" si="117"/>
        <v>0</v>
      </c>
      <c r="CF21" s="360">
        <f t="shared" si="118"/>
        <v>0</v>
      </c>
      <c r="CG21" s="360">
        <f t="shared" si="119"/>
        <v>0</v>
      </c>
      <c r="CH21" s="360">
        <f t="shared" si="120"/>
        <v>0</v>
      </c>
      <c r="CI21" s="360">
        <f t="shared" si="121"/>
        <v>0</v>
      </c>
      <c r="CJ21" s="360">
        <f t="shared" si="122"/>
        <v>0</v>
      </c>
      <c r="CK21" s="360">
        <f t="shared" si="123"/>
        <v>0</v>
      </c>
      <c r="CL21" s="360">
        <f t="shared" si="124"/>
        <v>0</v>
      </c>
      <c r="CM21" s="360">
        <f t="shared" si="125"/>
        <v>0</v>
      </c>
      <c r="CN21" s="360">
        <f t="shared" si="126"/>
        <v>0</v>
      </c>
      <c r="CO21" s="360">
        <f t="shared" si="127"/>
        <v>0</v>
      </c>
      <c r="CP21" s="360">
        <f t="shared" si="128"/>
        <v>0</v>
      </c>
      <c r="CQ21" s="360">
        <f t="shared" si="129"/>
        <v>0</v>
      </c>
      <c r="CR21" s="360">
        <f t="shared" si="130"/>
        <v>0</v>
      </c>
      <c r="CS21" s="360">
        <f t="shared" si="131"/>
        <v>0</v>
      </c>
      <c r="CT21" s="360">
        <f t="shared" si="132"/>
        <v>0</v>
      </c>
      <c r="CU21" s="360">
        <f t="shared" si="133"/>
        <v>0</v>
      </c>
      <c r="CV21" s="360">
        <f t="shared" si="134"/>
        <v>0</v>
      </c>
      <c r="CW21" s="360">
        <f t="shared" si="135"/>
        <v>0</v>
      </c>
      <c r="CX21" s="360">
        <f t="shared" si="136"/>
        <v>0</v>
      </c>
      <c r="CY21" s="360">
        <f t="shared" si="137"/>
        <v>0</v>
      </c>
      <c r="CZ21" s="360">
        <f t="shared" si="138"/>
        <v>0</v>
      </c>
      <c r="DA21" s="360">
        <f t="shared" si="139"/>
        <v>0</v>
      </c>
      <c r="DB21" s="360">
        <f t="shared" si="140"/>
        <v>0</v>
      </c>
      <c r="DC21" s="360">
        <f t="shared" si="141"/>
        <v>0</v>
      </c>
      <c r="DD21" s="360">
        <f t="shared" si="142"/>
        <v>0</v>
      </c>
      <c r="DE21" s="360">
        <f t="shared" si="143"/>
        <v>0</v>
      </c>
      <c r="DF21" s="360">
        <f t="shared" si="144"/>
        <v>0</v>
      </c>
      <c r="DG21" s="360">
        <f t="shared" si="145"/>
        <v>0</v>
      </c>
      <c r="DH21" s="360">
        <f t="shared" si="146"/>
        <v>0</v>
      </c>
      <c r="DI21" s="360">
        <f t="shared" si="147"/>
        <v>0</v>
      </c>
    </row>
    <row r="22" spans="1:113" ht="28" x14ac:dyDescent="0.3">
      <c r="A22" s="55" t="s">
        <v>1505</v>
      </c>
      <c r="B22" s="139"/>
      <c r="C22" s="11" t="s">
        <v>1506</v>
      </c>
      <c r="D22" s="265" t="s">
        <v>297</v>
      </c>
      <c r="E22" s="11" t="s">
        <v>1452</v>
      </c>
      <c r="F22" s="134" t="s">
        <v>299</v>
      </c>
      <c r="G22" s="175">
        <f>'[1]Costs (Arup)'!C57*8.74</f>
        <v>437000</v>
      </c>
      <c r="H22" s="114" t="s">
        <v>871</v>
      </c>
      <c r="I22" s="59">
        <v>0</v>
      </c>
      <c r="J22" s="59">
        <f t="shared" si="0"/>
        <v>437000</v>
      </c>
      <c r="K22" s="126">
        <f t="shared" si="50"/>
        <v>437000</v>
      </c>
      <c r="L22" s="126" t="s">
        <v>1453</v>
      </c>
      <c r="M22" s="413">
        <f t="shared" si="51"/>
        <v>0</v>
      </c>
      <c r="N22" s="100" t="s">
        <v>402</v>
      </c>
      <c r="O22" s="98"/>
      <c r="P22" s="98"/>
      <c r="Q22" s="98"/>
      <c r="R22" s="9"/>
      <c r="S22" s="9"/>
      <c r="T22" s="103"/>
      <c r="U22" s="242">
        <f>[1]Phasing!D$27</f>
        <v>4.7619047619047616E-2</v>
      </c>
      <c r="V22" s="242">
        <f>[1]Phasing!E$27</f>
        <v>0.47619047619047616</v>
      </c>
      <c r="W22" s="242">
        <f>[1]Phasing!F$27</f>
        <v>0.47619047619047616</v>
      </c>
      <c r="X22" s="245">
        <f>[1]Phasing!G$27</f>
        <v>0</v>
      </c>
      <c r="Y22" s="245">
        <f>[1]Phasing!H$27</f>
        <v>0</v>
      </c>
      <c r="Z22" s="246">
        <f>[1]Phasing!I$27</f>
        <v>0</v>
      </c>
      <c r="AA22" s="131"/>
      <c r="AB22" s="131" t="s">
        <v>239</v>
      </c>
      <c r="AC22" s="11" t="s">
        <v>1454</v>
      </c>
      <c r="AD22" s="274" t="s">
        <v>241</v>
      </c>
      <c r="AE22" s="11"/>
      <c r="AF22" s="97" t="s">
        <v>242</v>
      </c>
      <c r="AG22" s="94" t="s">
        <v>252</v>
      </c>
      <c r="AH22" s="177"/>
      <c r="AI22" s="132"/>
      <c r="AJ22" s="8"/>
      <c r="AK22" s="87">
        <f>$K$22*'[1]Apportionment %'!F5</f>
        <v>164948.08231992516</v>
      </c>
      <c r="AL22" s="87">
        <f>$K$22*'[1]Apportionment %'!G5</f>
        <v>272051.91768007487</v>
      </c>
      <c r="AM22" s="8"/>
      <c r="AN22" s="8"/>
      <c r="AO22" s="8"/>
      <c r="AP22" s="8"/>
      <c r="AQ22" s="8"/>
      <c r="AR22" s="8"/>
      <c r="AS22" s="8"/>
      <c r="AT22" s="8"/>
      <c r="AU22" s="8"/>
      <c r="AV22" s="8"/>
      <c r="AW22" s="8"/>
      <c r="AX22" s="8"/>
      <c r="AY22" s="8"/>
      <c r="AZ22" s="8"/>
      <c r="BA22" s="8"/>
      <c r="BB22" s="8"/>
      <c r="BC22" s="8"/>
      <c r="BD22" s="8"/>
      <c r="BE22" s="8"/>
      <c r="BF22" s="8"/>
      <c r="BG22" s="8"/>
      <c r="BH22" s="8"/>
      <c r="BI22" s="8"/>
      <c r="BJ22" s="8"/>
      <c r="BK22" s="288" t="b">
        <f t="shared" si="1"/>
        <v>1</v>
      </c>
      <c r="BN22" s="360">
        <f t="shared" si="100"/>
        <v>0</v>
      </c>
      <c r="BO22" s="360">
        <f t="shared" si="101"/>
        <v>0</v>
      </c>
      <c r="BP22" s="360">
        <f t="shared" si="102"/>
        <v>0</v>
      </c>
      <c r="BQ22" s="360">
        <f t="shared" si="103"/>
        <v>0</v>
      </c>
      <c r="BR22" s="360">
        <f t="shared" si="104"/>
        <v>0</v>
      </c>
      <c r="BS22" s="360">
        <f t="shared" si="105"/>
        <v>0</v>
      </c>
      <c r="BT22" s="360">
        <f t="shared" si="106"/>
        <v>0</v>
      </c>
      <c r="BU22" s="360">
        <f t="shared" si="107"/>
        <v>0</v>
      </c>
      <c r="BV22" s="360">
        <f t="shared" si="108"/>
        <v>0</v>
      </c>
      <c r="BW22" s="360">
        <f t="shared" si="109"/>
        <v>0</v>
      </c>
      <c r="BX22" s="360">
        <f t="shared" si="110"/>
        <v>0</v>
      </c>
      <c r="BY22" s="360">
        <f t="shared" si="111"/>
        <v>0</v>
      </c>
      <c r="BZ22" s="360">
        <f t="shared" si="112"/>
        <v>0</v>
      </c>
      <c r="CA22" s="360">
        <f t="shared" si="113"/>
        <v>0</v>
      </c>
      <c r="CB22" s="360">
        <f t="shared" si="114"/>
        <v>0</v>
      </c>
      <c r="CC22" s="360">
        <f t="shared" si="115"/>
        <v>0</v>
      </c>
      <c r="CD22" s="360">
        <f t="shared" si="116"/>
        <v>0</v>
      </c>
      <c r="CE22" s="360">
        <f t="shared" si="117"/>
        <v>0</v>
      </c>
      <c r="CF22" s="360">
        <f t="shared" si="118"/>
        <v>7854.6705866631028</v>
      </c>
      <c r="CG22" s="360">
        <f t="shared" si="119"/>
        <v>78546.705866631019</v>
      </c>
      <c r="CH22" s="360">
        <f t="shared" si="120"/>
        <v>78546.705866631019</v>
      </c>
      <c r="CI22" s="360">
        <f t="shared" si="121"/>
        <v>0</v>
      </c>
      <c r="CJ22" s="360">
        <f t="shared" si="122"/>
        <v>0</v>
      </c>
      <c r="CK22" s="360">
        <f t="shared" si="123"/>
        <v>0</v>
      </c>
      <c r="CL22" s="360">
        <f t="shared" si="124"/>
        <v>12954.853222860707</v>
      </c>
      <c r="CM22" s="360">
        <f t="shared" si="125"/>
        <v>129548.53222860707</v>
      </c>
      <c r="CN22" s="360">
        <f t="shared" si="126"/>
        <v>129548.53222860707</v>
      </c>
      <c r="CO22" s="360">
        <f t="shared" si="127"/>
        <v>0</v>
      </c>
      <c r="CP22" s="360">
        <f t="shared" si="128"/>
        <v>0</v>
      </c>
      <c r="CQ22" s="360">
        <f t="shared" si="129"/>
        <v>0</v>
      </c>
      <c r="CR22" s="360">
        <f t="shared" si="130"/>
        <v>0</v>
      </c>
      <c r="CS22" s="360">
        <f t="shared" si="131"/>
        <v>0</v>
      </c>
      <c r="CT22" s="360">
        <f t="shared" si="132"/>
        <v>0</v>
      </c>
      <c r="CU22" s="360">
        <f t="shared" si="133"/>
        <v>0</v>
      </c>
      <c r="CV22" s="360">
        <f t="shared" si="134"/>
        <v>0</v>
      </c>
      <c r="CW22" s="360">
        <f t="shared" si="135"/>
        <v>0</v>
      </c>
      <c r="CX22" s="360">
        <f t="shared" si="136"/>
        <v>0</v>
      </c>
      <c r="CY22" s="360">
        <f t="shared" si="137"/>
        <v>0</v>
      </c>
      <c r="CZ22" s="360">
        <f t="shared" si="138"/>
        <v>0</v>
      </c>
      <c r="DA22" s="360">
        <f t="shared" si="139"/>
        <v>0</v>
      </c>
      <c r="DB22" s="360">
        <f t="shared" si="140"/>
        <v>0</v>
      </c>
      <c r="DC22" s="360">
        <f t="shared" si="141"/>
        <v>0</v>
      </c>
      <c r="DD22" s="360">
        <f t="shared" si="142"/>
        <v>0</v>
      </c>
      <c r="DE22" s="360">
        <f t="shared" si="143"/>
        <v>0</v>
      </c>
      <c r="DF22" s="360">
        <f t="shared" si="144"/>
        <v>0</v>
      </c>
      <c r="DG22" s="360">
        <f t="shared" si="145"/>
        <v>0</v>
      </c>
      <c r="DH22" s="360">
        <f t="shared" si="146"/>
        <v>0</v>
      </c>
      <c r="DI22" s="360">
        <f t="shared" si="147"/>
        <v>0</v>
      </c>
    </row>
    <row r="23" spans="1:113" ht="42" x14ac:dyDescent="0.3">
      <c r="A23" s="55" t="s">
        <v>1507</v>
      </c>
      <c r="B23" s="139"/>
      <c r="C23" s="11" t="s">
        <v>1508</v>
      </c>
      <c r="D23" s="265" t="s">
        <v>297</v>
      </c>
      <c r="E23" s="11" t="s">
        <v>1471</v>
      </c>
      <c r="F23" s="134" t="s">
        <v>299</v>
      </c>
      <c r="G23" s="175">
        <f>'[1]Costs (Arup)'!C57*60.93</f>
        <v>3046500</v>
      </c>
      <c r="H23" s="114" t="s">
        <v>871</v>
      </c>
      <c r="I23" s="59">
        <v>0</v>
      </c>
      <c r="J23" s="59">
        <f t="shared" si="0"/>
        <v>3046500</v>
      </c>
      <c r="K23" s="126">
        <f t="shared" si="50"/>
        <v>3046500</v>
      </c>
      <c r="L23" s="126" t="s">
        <v>1453</v>
      </c>
      <c r="M23" s="413">
        <f t="shared" si="51"/>
        <v>0</v>
      </c>
      <c r="N23" s="100" t="s">
        <v>890</v>
      </c>
      <c r="O23" s="98"/>
      <c r="P23" s="98"/>
      <c r="Q23" s="98"/>
      <c r="R23" s="98"/>
      <c r="S23" s="98"/>
      <c r="T23" s="160"/>
      <c r="U23" s="242">
        <f>[1]Phasing!D$29</f>
        <v>2.5529411764705884E-2</v>
      </c>
      <c r="V23" s="242">
        <f>[1]Phasing!E$29</f>
        <v>9.8000000000000004E-2</v>
      </c>
      <c r="W23" s="242">
        <f>[1]Phasing!F$29</f>
        <v>0.11764705882352941</v>
      </c>
      <c r="X23" s="242">
        <f>[1]Phasing!G$29</f>
        <v>0.11764705882352941</v>
      </c>
      <c r="Y23" s="242">
        <f>[1]Phasing!H$29</f>
        <v>0.17647058823529413</v>
      </c>
      <c r="Z23" s="247">
        <f>[1]Phasing!I$29</f>
        <v>0.46470588235294119</v>
      </c>
      <c r="AA23" s="131" t="s">
        <v>1472</v>
      </c>
      <c r="AB23" s="32"/>
      <c r="AC23" s="11" t="s">
        <v>1473</v>
      </c>
      <c r="AD23" s="274" t="s">
        <v>241</v>
      </c>
      <c r="AE23" s="11"/>
      <c r="AF23" s="97" t="s">
        <v>242</v>
      </c>
      <c r="AG23" s="94" t="s">
        <v>252</v>
      </c>
      <c r="AH23" s="177"/>
      <c r="AI23" s="132"/>
      <c r="AJ23" s="8"/>
      <c r="AK23" s="8"/>
      <c r="AL23" s="8"/>
      <c r="AM23" s="87">
        <f>K23</f>
        <v>3046500</v>
      </c>
      <c r="AN23" s="8"/>
      <c r="AO23" s="8"/>
      <c r="AP23" s="8"/>
      <c r="AQ23" s="8"/>
      <c r="AR23" s="8"/>
      <c r="AS23" s="8"/>
      <c r="AT23" s="8"/>
      <c r="AU23" s="8"/>
      <c r="AV23" s="8"/>
      <c r="AW23" s="8"/>
      <c r="AX23" s="8"/>
      <c r="AY23" s="8"/>
      <c r="AZ23" s="8"/>
      <c r="BA23" s="8"/>
      <c r="BB23" s="8"/>
      <c r="BC23" s="8"/>
      <c r="BD23" s="8"/>
      <c r="BE23" s="8"/>
      <c r="BF23" s="8"/>
      <c r="BG23" s="8"/>
      <c r="BH23" s="8"/>
      <c r="BI23" s="8"/>
      <c r="BJ23" s="8"/>
      <c r="BK23" s="288" t="b">
        <f t="shared" si="1"/>
        <v>1</v>
      </c>
      <c r="BN23" s="360">
        <f t="shared" si="100"/>
        <v>0</v>
      </c>
      <c r="BO23" s="360">
        <f t="shared" si="101"/>
        <v>0</v>
      </c>
      <c r="BP23" s="360">
        <f t="shared" si="102"/>
        <v>0</v>
      </c>
      <c r="BQ23" s="360">
        <f t="shared" si="103"/>
        <v>0</v>
      </c>
      <c r="BR23" s="360">
        <f t="shared" si="104"/>
        <v>0</v>
      </c>
      <c r="BS23" s="360">
        <f t="shared" si="105"/>
        <v>0</v>
      </c>
      <c r="BT23" s="360">
        <f t="shared" si="106"/>
        <v>0</v>
      </c>
      <c r="BU23" s="360">
        <f t="shared" si="107"/>
        <v>0</v>
      </c>
      <c r="BV23" s="360">
        <f t="shared" si="108"/>
        <v>0</v>
      </c>
      <c r="BW23" s="360">
        <f t="shared" si="109"/>
        <v>0</v>
      </c>
      <c r="BX23" s="360">
        <f t="shared" si="110"/>
        <v>0</v>
      </c>
      <c r="BY23" s="360">
        <f t="shared" si="111"/>
        <v>0</v>
      </c>
      <c r="BZ23" s="360">
        <f t="shared" si="112"/>
        <v>0</v>
      </c>
      <c r="CA23" s="360">
        <f t="shared" si="113"/>
        <v>0</v>
      </c>
      <c r="CB23" s="360">
        <f t="shared" si="114"/>
        <v>0</v>
      </c>
      <c r="CC23" s="360">
        <f t="shared" si="115"/>
        <v>0</v>
      </c>
      <c r="CD23" s="360">
        <f t="shared" si="116"/>
        <v>0</v>
      </c>
      <c r="CE23" s="360">
        <f t="shared" si="117"/>
        <v>0</v>
      </c>
      <c r="CF23" s="360">
        <f t="shared" si="118"/>
        <v>0</v>
      </c>
      <c r="CG23" s="360">
        <f t="shared" si="119"/>
        <v>0</v>
      </c>
      <c r="CH23" s="360">
        <f t="shared" si="120"/>
        <v>0</v>
      </c>
      <c r="CI23" s="360">
        <f t="shared" si="121"/>
        <v>0</v>
      </c>
      <c r="CJ23" s="360">
        <f t="shared" si="122"/>
        <v>0</v>
      </c>
      <c r="CK23" s="360">
        <f t="shared" si="123"/>
        <v>0</v>
      </c>
      <c r="CL23" s="360">
        <f t="shared" si="124"/>
        <v>0</v>
      </c>
      <c r="CM23" s="360">
        <f t="shared" si="125"/>
        <v>0</v>
      </c>
      <c r="CN23" s="360">
        <f t="shared" si="126"/>
        <v>0</v>
      </c>
      <c r="CO23" s="360">
        <f t="shared" si="127"/>
        <v>0</v>
      </c>
      <c r="CP23" s="360">
        <f t="shared" si="128"/>
        <v>0</v>
      </c>
      <c r="CQ23" s="360">
        <f t="shared" si="129"/>
        <v>0</v>
      </c>
      <c r="CR23" s="360">
        <f t="shared" si="130"/>
        <v>77775.352941176476</v>
      </c>
      <c r="CS23" s="360">
        <f t="shared" si="131"/>
        <v>298557</v>
      </c>
      <c r="CT23" s="360">
        <f t="shared" si="132"/>
        <v>358411.76470588235</v>
      </c>
      <c r="CU23" s="360">
        <f t="shared" si="133"/>
        <v>358411.76470588235</v>
      </c>
      <c r="CV23" s="360">
        <f t="shared" si="134"/>
        <v>537617.64705882361</v>
      </c>
      <c r="CW23" s="360">
        <f t="shared" si="135"/>
        <v>1415726.4705882354</v>
      </c>
      <c r="CX23" s="360">
        <f t="shared" si="136"/>
        <v>0</v>
      </c>
      <c r="CY23" s="360">
        <f t="shared" si="137"/>
        <v>0</v>
      </c>
      <c r="CZ23" s="360">
        <f t="shared" si="138"/>
        <v>0</v>
      </c>
      <c r="DA23" s="360">
        <f t="shared" si="139"/>
        <v>0</v>
      </c>
      <c r="DB23" s="360">
        <f t="shared" si="140"/>
        <v>0</v>
      </c>
      <c r="DC23" s="360">
        <f t="shared" si="141"/>
        <v>0</v>
      </c>
      <c r="DD23" s="360">
        <f t="shared" si="142"/>
        <v>0</v>
      </c>
      <c r="DE23" s="360">
        <f t="shared" si="143"/>
        <v>0</v>
      </c>
      <c r="DF23" s="360">
        <f t="shared" si="144"/>
        <v>0</v>
      </c>
      <c r="DG23" s="360">
        <f t="shared" si="145"/>
        <v>0</v>
      </c>
      <c r="DH23" s="360">
        <f t="shared" si="146"/>
        <v>0</v>
      </c>
      <c r="DI23" s="360">
        <f t="shared" si="147"/>
        <v>0</v>
      </c>
    </row>
    <row r="24" spans="1:113" ht="42" x14ac:dyDescent="0.3">
      <c r="A24" s="55" t="s">
        <v>1509</v>
      </c>
      <c r="B24" s="139"/>
      <c r="C24" s="11" t="s">
        <v>1510</v>
      </c>
      <c r="D24" s="265" t="s">
        <v>297</v>
      </c>
      <c r="E24" s="11" t="s">
        <v>1471</v>
      </c>
      <c r="F24" s="134" t="s">
        <v>299</v>
      </c>
      <c r="G24" s="175">
        <f>'[1]Costs (Arup)'!C57*10.75</f>
        <v>537500</v>
      </c>
      <c r="H24" s="114" t="s">
        <v>871</v>
      </c>
      <c r="I24" s="59">
        <v>0</v>
      </c>
      <c r="J24" s="59">
        <f t="shared" si="0"/>
        <v>537500</v>
      </c>
      <c r="K24" s="126">
        <f t="shared" si="50"/>
        <v>537500</v>
      </c>
      <c r="L24" s="126" t="s">
        <v>1453</v>
      </c>
      <c r="M24" s="413">
        <f t="shared" si="51"/>
        <v>0</v>
      </c>
      <c r="N24" s="100" t="s">
        <v>890</v>
      </c>
      <c r="O24" s="98"/>
      <c r="P24" s="98"/>
      <c r="Q24" s="98"/>
      <c r="R24" s="98"/>
      <c r="S24" s="98"/>
      <c r="T24" s="160"/>
      <c r="U24" s="242">
        <f>[1]Phasing!D$30</f>
        <v>0</v>
      </c>
      <c r="V24" s="242">
        <f>[1]Phasing!E$30</f>
        <v>0.33333333333333331</v>
      </c>
      <c r="W24" s="242">
        <f>[1]Phasing!F$30</f>
        <v>0.33333333333333331</v>
      </c>
      <c r="X24" s="242">
        <f>[1]Phasing!G$30</f>
        <v>0.33333333333333331</v>
      </c>
      <c r="Y24" s="242">
        <f>[1]Phasing!H$30</f>
        <v>0</v>
      </c>
      <c r="Z24" s="247">
        <f>[1]Phasing!I$30</f>
        <v>0</v>
      </c>
      <c r="AA24" s="131" t="s">
        <v>1472</v>
      </c>
      <c r="AB24" s="32"/>
      <c r="AC24" s="11" t="s">
        <v>1473</v>
      </c>
      <c r="AD24" s="274" t="s">
        <v>241</v>
      </c>
      <c r="AE24" s="11"/>
      <c r="AF24" s="97" t="s">
        <v>242</v>
      </c>
      <c r="AG24" s="94" t="s">
        <v>252</v>
      </c>
      <c r="AH24" s="177"/>
      <c r="AI24" s="132"/>
      <c r="AJ24" s="8"/>
      <c r="AK24" s="8"/>
      <c r="AL24" s="8"/>
      <c r="AM24" s="8"/>
      <c r="AN24" s="87">
        <f>K24</f>
        <v>537500</v>
      </c>
      <c r="AO24" s="8"/>
      <c r="AP24" s="8"/>
      <c r="AQ24" s="8"/>
      <c r="AR24" s="8"/>
      <c r="AS24" s="8"/>
      <c r="AT24" s="8"/>
      <c r="AU24" s="8"/>
      <c r="AV24" s="8"/>
      <c r="AW24" s="8"/>
      <c r="AX24" s="8"/>
      <c r="AY24" s="8"/>
      <c r="AZ24" s="8"/>
      <c r="BA24" s="8"/>
      <c r="BB24" s="8"/>
      <c r="BC24" s="8"/>
      <c r="BD24" s="8"/>
      <c r="BE24" s="8"/>
      <c r="BF24" s="8"/>
      <c r="BG24" s="8"/>
      <c r="BH24" s="8"/>
      <c r="BI24" s="8"/>
      <c r="BJ24" s="8"/>
      <c r="BK24" s="288" t="b">
        <f t="shared" si="1"/>
        <v>1</v>
      </c>
      <c r="BN24" s="360">
        <f t="shared" si="100"/>
        <v>0</v>
      </c>
      <c r="BO24" s="360">
        <f t="shared" si="101"/>
        <v>0</v>
      </c>
      <c r="BP24" s="360">
        <f t="shared" si="102"/>
        <v>0</v>
      </c>
      <c r="BQ24" s="360">
        <f t="shared" si="103"/>
        <v>0</v>
      </c>
      <c r="BR24" s="360">
        <f t="shared" si="104"/>
        <v>0</v>
      </c>
      <c r="BS24" s="360">
        <f t="shared" si="105"/>
        <v>0</v>
      </c>
      <c r="BT24" s="360">
        <f t="shared" si="106"/>
        <v>0</v>
      </c>
      <c r="BU24" s="360">
        <f t="shared" si="107"/>
        <v>0</v>
      </c>
      <c r="BV24" s="360">
        <f t="shared" si="108"/>
        <v>0</v>
      </c>
      <c r="BW24" s="360">
        <f t="shared" si="109"/>
        <v>0</v>
      </c>
      <c r="BX24" s="360">
        <f t="shared" si="110"/>
        <v>0</v>
      </c>
      <c r="BY24" s="360">
        <f t="shared" si="111"/>
        <v>0</v>
      </c>
      <c r="BZ24" s="360">
        <f t="shared" si="112"/>
        <v>0</v>
      </c>
      <c r="CA24" s="360">
        <f t="shared" si="113"/>
        <v>0</v>
      </c>
      <c r="CB24" s="360">
        <f t="shared" si="114"/>
        <v>0</v>
      </c>
      <c r="CC24" s="360">
        <f t="shared" si="115"/>
        <v>0</v>
      </c>
      <c r="CD24" s="360">
        <f t="shared" si="116"/>
        <v>0</v>
      </c>
      <c r="CE24" s="360">
        <f t="shared" si="117"/>
        <v>0</v>
      </c>
      <c r="CF24" s="360">
        <f t="shared" si="118"/>
        <v>0</v>
      </c>
      <c r="CG24" s="360">
        <f t="shared" si="119"/>
        <v>0</v>
      </c>
      <c r="CH24" s="360">
        <f t="shared" si="120"/>
        <v>0</v>
      </c>
      <c r="CI24" s="360">
        <f t="shared" si="121"/>
        <v>0</v>
      </c>
      <c r="CJ24" s="360">
        <f t="shared" si="122"/>
        <v>0</v>
      </c>
      <c r="CK24" s="360">
        <f t="shared" si="123"/>
        <v>0</v>
      </c>
      <c r="CL24" s="360">
        <f t="shared" si="124"/>
        <v>0</v>
      </c>
      <c r="CM24" s="360">
        <f t="shared" si="125"/>
        <v>0</v>
      </c>
      <c r="CN24" s="360">
        <f t="shared" si="126"/>
        <v>0</v>
      </c>
      <c r="CO24" s="360">
        <f t="shared" si="127"/>
        <v>0</v>
      </c>
      <c r="CP24" s="360">
        <f t="shared" si="128"/>
        <v>0</v>
      </c>
      <c r="CQ24" s="360">
        <f t="shared" si="129"/>
        <v>0</v>
      </c>
      <c r="CR24" s="360">
        <f t="shared" si="130"/>
        <v>0</v>
      </c>
      <c r="CS24" s="360">
        <f t="shared" si="131"/>
        <v>0</v>
      </c>
      <c r="CT24" s="360">
        <f t="shared" si="132"/>
        <v>0</v>
      </c>
      <c r="CU24" s="360">
        <f t="shared" si="133"/>
        <v>0</v>
      </c>
      <c r="CV24" s="360">
        <f t="shared" si="134"/>
        <v>0</v>
      </c>
      <c r="CW24" s="360">
        <f t="shared" si="135"/>
        <v>0</v>
      </c>
      <c r="CX24" s="360">
        <f t="shared" si="136"/>
        <v>0</v>
      </c>
      <c r="CY24" s="360">
        <f t="shared" si="137"/>
        <v>179166.66666666666</v>
      </c>
      <c r="CZ24" s="360">
        <f t="shared" si="138"/>
        <v>179166.66666666666</v>
      </c>
      <c r="DA24" s="360">
        <f t="shared" si="139"/>
        <v>179166.66666666666</v>
      </c>
      <c r="DB24" s="360">
        <f t="shared" si="140"/>
        <v>0</v>
      </c>
      <c r="DC24" s="360">
        <f t="shared" si="141"/>
        <v>0</v>
      </c>
      <c r="DD24" s="360">
        <f t="shared" si="142"/>
        <v>0</v>
      </c>
      <c r="DE24" s="360">
        <f t="shared" si="143"/>
        <v>0</v>
      </c>
      <c r="DF24" s="360">
        <f t="shared" si="144"/>
        <v>0</v>
      </c>
      <c r="DG24" s="360">
        <f t="shared" si="145"/>
        <v>0</v>
      </c>
      <c r="DH24" s="360">
        <f t="shared" si="146"/>
        <v>0</v>
      </c>
      <c r="DI24" s="360">
        <f t="shared" si="147"/>
        <v>0</v>
      </c>
    </row>
    <row r="25" spans="1:113" ht="42" x14ac:dyDescent="0.3">
      <c r="A25" s="55" t="s">
        <v>1511</v>
      </c>
      <c r="B25" s="139" t="s">
        <v>1501</v>
      </c>
      <c r="C25" s="11" t="s">
        <v>1512</v>
      </c>
      <c r="D25" s="265" t="s">
        <v>297</v>
      </c>
      <c r="E25" s="11" t="s">
        <v>1458</v>
      </c>
      <c r="F25" s="134" t="s">
        <v>299</v>
      </c>
      <c r="G25" s="175">
        <f>'[1]Costs (Arup)'!C57*6.86</f>
        <v>343000</v>
      </c>
      <c r="H25" s="114" t="s">
        <v>871</v>
      </c>
      <c r="I25" s="59">
        <v>0</v>
      </c>
      <c r="J25" s="59">
        <f t="shared" si="0"/>
        <v>343000</v>
      </c>
      <c r="K25" s="126">
        <f t="shared" si="50"/>
        <v>343000</v>
      </c>
      <c r="L25" s="126" t="s">
        <v>1453</v>
      </c>
      <c r="M25" s="413">
        <f t="shared" si="51"/>
        <v>0</v>
      </c>
      <c r="N25" s="100" t="s">
        <v>1183</v>
      </c>
      <c r="O25" s="98"/>
      <c r="P25" s="98"/>
      <c r="Q25" s="98"/>
      <c r="R25" s="26"/>
      <c r="S25" s="26"/>
      <c r="T25" s="170"/>
      <c r="U25" s="242">
        <f>[1]Phasing!D$31</f>
        <v>0.17959895379250218</v>
      </c>
      <c r="V25" s="242">
        <f>[1]Phasing!E$31</f>
        <v>0.1054925893635571</v>
      </c>
      <c r="W25" s="242">
        <f>[1]Phasing!F$31</f>
        <v>0.71490845684394067</v>
      </c>
      <c r="X25" s="243">
        <f>[1]Phasing!G$31</f>
        <v>0</v>
      </c>
      <c r="Y25" s="243">
        <f>[1]Phasing!H$31</f>
        <v>0</v>
      </c>
      <c r="Z25" s="244">
        <f>[1]Phasing!I$31</f>
        <v>0</v>
      </c>
      <c r="AA25" s="131" t="s">
        <v>1353</v>
      </c>
      <c r="AB25" s="131" t="s">
        <v>1461</v>
      </c>
      <c r="AC25" s="11" t="s">
        <v>1462</v>
      </c>
      <c r="AD25" s="274" t="s">
        <v>241</v>
      </c>
      <c r="AE25" s="11"/>
      <c r="AF25" s="405" t="s">
        <v>461</v>
      </c>
      <c r="AG25" s="94" t="s">
        <v>293</v>
      </c>
      <c r="AH25" s="177"/>
      <c r="AI25" s="132"/>
      <c r="AJ25" s="8"/>
      <c r="AK25" s="8"/>
      <c r="AL25" s="8"/>
      <c r="AM25" s="8"/>
      <c r="AN25" s="8"/>
      <c r="AO25" s="87">
        <f>$K$25*'[1]Apportionment %'!J6</f>
        <v>194376.63469921536</v>
      </c>
      <c r="AP25" s="87">
        <f>$K$25*'[1]Apportionment %'!K6</f>
        <v>20932.868352223191</v>
      </c>
      <c r="AQ25" s="87">
        <f>$K$25*'[1]Apportionment %'!L6</f>
        <v>20633.827375762859</v>
      </c>
      <c r="AR25" s="87">
        <f>$K$25*'[1]Apportionment %'!M6</f>
        <v>12559.721011333913</v>
      </c>
      <c r="AS25" s="87">
        <f>$K$25*'[1]Apportionment %'!N6</f>
        <v>10765.475152571926</v>
      </c>
      <c r="AT25" s="87">
        <f>$K$25*'[1]Apportionment %'!O6</f>
        <v>10466.434176111596</v>
      </c>
      <c r="AU25" s="87">
        <f>$K$25*'[1]Apportionment %'!P6</f>
        <v>10466.434176111596</v>
      </c>
      <c r="AV25" s="87">
        <f>$K$25*'[1]Apportionment %'!Q6</f>
        <v>10466.434176111596</v>
      </c>
      <c r="AW25" s="87">
        <f>$K$25*'[1]Apportionment %'!R6</f>
        <v>6877.9424585876204</v>
      </c>
      <c r="AX25" s="87">
        <f>$K$25*'[1]Apportionment %'!S6</f>
        <v>5980.8195292066257</v>
      </c>
      <c r="AY25" s="87">
        <f>$K$25*'[1]Apportionment %'!T6</f>
        <v>4784.6556233653009</v>
      </c>
      <c r="AZ25" s="87">
        <f>$K$25*'[1]Apportionment %'!U6</f>
        <v>4784.6556233653009</v>
      </c>
      <c r="BA25" s="87">
        <f>$K$25*'[1]Apportionment %'!V6</f>
        <v>4485.614646904969</v>
      </c>
      <c r="BB25" s="87">
        <f>$K$25*'[1]Apportionment %'!W6</f>
        <v>3887.5326939843071</v>
      </c>
      <c r="BC25" s="87">
        <f>$K$25*'[1]Apportionment %'!X6</f>
        <v>3588.4917175239757</v>
      </c>
      <c r="BD25" s="87">
        <f>$K$25*'[1]Apportionment %'!Y6</f>
        <v>2990.4097646033129</v>
      </c>
      <c r="BE25" s="87">
        <f>$K$25*'[1]Apportionment %'!Z6</f>
        <v>2990.4097646033129</v>
      </c>
      <c r="BF25" s="87">
        <f>$K$25*'[1]Apportionment %'!AA6</f>
        <v>2990.4097646033129</v>
      </c>
      <c r="BG25" s="87">
        <f>$K$25*'[1]Apportionment %'!AB6</f>
        <v>2990.4097646033129</v>
      </c>
      <c r="BH25" s="87">
        <f>$K$25*'[1]Apportionment %'!AC6</f>
        <v>2990.4097646033129</v>
      </c>
      <c r="BI25" s="87">
        <f>$K$25*'[1]Apportionment %'!AD6</f>
        <v>2990.4097646033129</v>
      </c>
      <c r="BJ25" s="8"/>
      <c r="BK25" s="288" t="b">
        <f t="shared" si="1"/>
        <v>1</v>
      </c>
      <c r="BN25" s="360">
        <f t="shared" si="100"/>
        <v>0</v>
      </c>
      <c r="BO25" s="360">
        <f t="shared" si="101"/>
        <v>0</v>
      </c>
      <c r="BP25" s="360">
        <f t="shared" si="102"/>
        <v>0</v>
      </c>
      <c r="BQ25" s="360">
        <f t="shared" si="103"/>
        <v>0</v>
      </c>
      <c r="BR25" s="360">
        <f t="shared" si="104"/>
        <v>0</v>
      </c>
      <c r="BS25" s="360">
        <f t="shared" si="105"/>
        <v>0</v>
      </c>
      <c r="BT25" s="360">
        <f t="shared" si="106"/>
        <v>0</v>
      </c>
      <c r="BU25" s="360">
        <f t="shared" si="107"/>
        <v>0</v>
      </c>
      <c r="BV25" s="360">
        <f t="shared" si="108"/>
        <v>0</v>
      </c>
      <c r="BW25" s="360">
        <f t="shared" si="109"/>
        <v>0</v>
      </c>
      <c r="BX25" s="360">
        <f t="shared" si="110"/>
        <v>0</v>
      </c>
      <c r="BY25" s="360">
        <f t="shared" si="111"/>
        <v>0</v>
      </c>
      <c r="BZ25" s="360">
        <f t="shared" si="112"/>
        <v>0</v>
      </c>
      <c r="CA25" s="360">
        <f t="shared" si="113"/>
        <v>0</v>
      </c>
      <c r="CB25" s="360">
        <f t="shared" si="114"/>
        <v>0</v>
      </c>
      <c r="CC25" s="360">
        <f t="shared" si="115"/>
        <v>0</v>
      </c>
      <c r="CD25" s="360">
        <f t="shared" si="116"/>
        <v>0</v>
      </c>
      <c r="CE25" s="360">
        <f t="shared" si="117"/>
        <v>0</v>
      </c>
      <c r="CF25" s="360">
        <f t="shared" si="118"/>
        <v>0</v>
      </c>
      <c r="CG25" s="360">
        <f t="shared" si="119"/>
        <v>0</v>
      </c>
      <c r="CH25" s="360">
        <f t="shared" si="120"/>
        <v>0</v>
      </c>
      <c r="CI25" s="360">
        <f t="shared" si="121"/>
        <v>0</v>
      </c>
      <c r="CJ25" s="360">
        <f t="shared" si="122"/>
        <v>0</v>
      </c>
      <c r="CK25" s="360">
        <f t="shared" si="123"/>
        <v>0</v>
      </c>
      <c r="CL25" s="360">
        <f t="shared" si="124"/>
        <v>0</v>
      </c>
      <c r="CM25" s="360">
        <f t="shared" si="125"/>
        <v>0</v>
      </c>
      <c r="CN25" s="360">
        <f t="shared" si="126"/>
        <v>0</v>
      </c>
      <c r="CO25" s="360">
        <f t="shared" si="127"/>
        <v>0</v>
      </c>
      <c r="CP25" s="360">
        <f t="shared" si="128"/>
        <v>0</v>
      </c>
      <c r="CQ25" s="360">
        <f t="shared" si="129"/>
        <v>0</v>
      </c>
      <c r="CR25" s="360">
        <f t="shared" si="130"/>
        <v>0</v>
      </c>
      <c r="CS25" s="360">
        <f t="shared" si="131"/>
        <v>0</v>
      </c>
      <c r="CT25" s="360">
        <f t="shared" si="132"/>
        <v>0</v>
      </c>
      <c r="CU25" s="360">
        <f t="shared" si="133"/>
        <v>0</v>
      </c>
      <c r="CV25" s="360">
        <f t="shared" si="134"/>
        <v>0</v>
      </c>
      <c r="CW25" s="360">
        <f t="shared" si="135"/>
        <v>0</v>
      </c>
      <c r="CX25" s="360">
        <f t="shared" si="136"/>
        <v>0</v>
      </c>
      <c r="CY25" s="360">
        <f t="shared" si="137"/>
        <v>0</v>
      </c>
      <c r="CZ25" s="360">
        <f t="shared" si="138"/>
        <v>0</v>
      </c>
      <c r="DA25" s="360">
        <f t="shared" si="139"/>
        <v>0</v>
      </c>
      <c r="DB25" s="360">
        <f t="shared" si="140"/>
        <v>0</v>
      </c>
      <c r="DC25" s="360">
        <f t="shared" si="141"/>
        <v>0</v>
      </c>
      <c r="DD25" s="360">
        <f t="shared" si="142"/>
        <v>34909.840233686453</v>
      </c>
      <c r="DE25" s="360">
        <f t="shared" si="143"/>
        <v>20505.29450619447</v>
      </c>
      <c r="DF25" s="360">
        <f t="shared" si="144"/>
        <v>138961.49995933441</v>
      </c>
      <c r="DG25" s="360">
        <f t="shared" si="145"/>
        <v>0</v>
      </c>
      <c r="DH25" s="360">
        <f t="shared" si="146"/>
        <v>0</v>
      </c>
      <c r="DI25" s="360">
        <f t="shared" si="147"/>
        <v>0</v>
      </c>
    </row>
    <row r="26" spans="1:113" s="348" customFormat="1" x14ac:dyDescent="0.35">
      <c r="A26" s="411" t="s">
        <v>1513</v>
      </c>
      <c r="B26" s="138"/>
      <c r="C26" s="38"/>
      <c r="D26" s="38"/>
      <c r="E26" s="38"/>
      <c r="F26" s="167"/>
      <c r="G26" s="166"/>
      <c r="H26" s="41"/>
      <c r="I26" s="41"/>
      <c r="J26" s="41"/>
      <c r="K26" s="41"/>
      <c r="L26" s="41"/>
      <c r="M26" s="414"/>
      <c r="N26" s="169"/>
      <c r="O26" s="38"/>
      <c r="P26" s="38"/>
      <c r="Q26" s="38"/>
      <c r="R26" s="38"/>
      <c r="S26" s="38"/>
      <c r="T26" s="415"/>
      <c r="U26" s="229"/>
      <c r="V26" s="229"/>
      <c r="W26" s="229"/>
      <c r="X26" s="229"/>
      <c r="Y26" s="229"/>
      <c r="Z26" s="230"/>
      <c r="AA26" s="169"/>
      <c r="AB26" s="60"/>
      <c r="AC26" s="37"/>
      <c r="AD26" s="37"/>
      <c r="AE26" s="37"/>
      <c r="AF26" s="36"/>
      <c r="AG26" s="172"/>
      <c r="AH26" s="178"/>
      <c r="AI26" s="133"/>
      <c r="AJ26" s="15"/>
      <c r="AK26" s="15"/>
      <c r="AL26" s="15"/>
      <c r="AM26" s="15"/>
      <c r="AN26" s="15"/>
      <c r="AO26" s="15"/>
      <c r="AP26" s="15" t="s">
        <v>1107</v>
      </c>
      <c r="AQ26" s="15"/>
      <c r="AR26" s="15"/>
      <c r="AS26" s="15"/>
      <c r="AT26" s="15"/>
      <c r="AU26" s="15"/>
      <c r="AV26" s="15"/>
      <c r="AW26" s="15"/>
      <c r="AX26" s="15"/>
      <c r="AY26" s="15"/>
      <c r="AZ26" s="15"/>
      <c r="BA26" s="15"/>
      <c r="BB26" s="15"/>
      <c r="BC26" s="15"/>
      <c r="BD26" s="15"/>
      <c r="BE26" s="15"/>
      <c r="BF26" s="15"/>
      <c r="BG26" s="15"/>
      <c r="BH26" s="15"/>
      <c r="BI26" s="15"/>
      <c r="BJ26" s="15"/>
      <c r="BK26" s="288"/>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row>
    <row r="27" spans="1:113" ht="28" x14ac:dyDescent="0.3">
      <c r="A27" s="55" t="s">
        <v>1514</v>
      </c>
      <c r="B27" s="139" t="s">
        <v>1515</v>
      </c>
      <c r="C27" s="11" t="s">
        <v>1516</v>
      </c>
      <c r="D27" s="265" t="s">
        <v>297</v>
      </c>
      <c r="E27" s="11" t="s">
        <v>1452</v>
      </c>
      <c r="F27" s="134" t="s">
        <v>299</v>
      </c>
      <c r="G27" s="175">
        <f>'[1]Costs (Arup)'!F65*4400</f>
        <v>582120</v>
      </c>
      <c r="H27" s="114" t="s">
        <v>871</v>
      </c>
      <c r="I27" s="59">
        <v>0</v>
      </c>
      <c r="J27" s="59">
        <f t="shared" si="0"/>
        <v>582120</v>
      </c>
      <c r="K27" s="126">
        <f t="shared" si="50"/>
        <v>582120</v>
      </c>
      <c r="L27" s="126" t="s">
        <v>1453</v>
      </c>
      <c r="M27" s="413">
        <f t="shared" si="51"/>
        <v>0</v>
      </c>
      <c r="N27" s="100" t="s">
        <v>265</v>
      </c>
      <c r="O27" s="26"/>
      <c r="P27" s="98"/>
      <c r="Q27" s="98"/>
      <c r="R27" s="26"/>
      <c r="S27" s="26"/>
      <c r="T27" s="170"/>
      <c r="U27" s="243">
        <f>[1]Phasing!D22</f>
        <v>0</v>
      </c>
      <c r="V27" s="242">
        <f>[1]Phasing!E22</f>
        <v>0.33333333333333331</v>
      </c>
      <c r="W27" s="242">
        <f>[1]Phasing!F22</f>
        <v>0.66666666666666663</v>
      </c>
      <c r="X27" s="243">
        <f>[1]Phasing!G22</f>
        <v>0</v>
      </c>
      <c r="Y27" s="243">
        <f>[1]Phasing!H22</f>
        <v>0</v>
      </c>
      <c r="Z27" s="244">
        <f>[1]Phasing!I22</f>
        <v>0</v>
      </c>
      <c r="AA27" s="131"/>
      <c r="AB27" s="131" t="s">
        <v>239</v>
      </c>
      <c r="AC27" s="11" t="s">
        <v>1454</v>
      </c>
      <c r="AD27" s="274" t="s">
        <v>241</v>
      </c>
      <c r="AE27" s="11"/>
      <c r="AF27" s="97" t="s">
        <v>242</v>
      </c>
      <c r="AG27" s="94" t="s">
        <v>252</v>
      </c>
      <c r="AH27" s="180">
        <f>K27</f>
        <v>582120</v>
      </c>
      <c r="AI27" s="132"/>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288" t="b">
        <f t="shared" si="1"/>
        <v>1</v>
      </c>
      <c r="BN27" s="360">
        <f t="shared" ref="BN27:BN35" si="148">$U27*AH27</f>
        <v>0</v>
      </c>
      <c r="BO27" s="360">
        <f t="shared" ref="BO27:BO35" si="149">$V27*AH27</f>
        <v>194040</v>
      </c>
      <c r="BP27" s="360">
        <f t="shared" ref="BP27:BP35" si="150">$W27*AH27</f>
        <v>388080</v>
      </c>
      <c r="BQ27" s="360">
        <f t="shared" ref="BQ27:BQ35" si="151">$X27*AH27</f>
        <v>0</v>
      </c>
      <c r="BR27" s="360">
        <f t="shared" ref="BR27:BR35" si="152">$Y27*AH27</f>
        <v>0</v>
      </c>
      <c r="BS27" s="360">
        <f t="shared" ref="BS27:BS35" si="153">$Z27*AH27</f>
        <v>0</v>
      </c>
      <c r="BT27" s="360">
        <f t="shared" ref="BT27:BT35" si="154">$U27*AI27</f>
        <v>0</v>
      </c>
      <c r="BU27" s="360">
        <f t="shared" ref="BU27:BU35" si="155">$V27*AI27</f>
        <v>0</v>
      </c>
      <c r="BV27" s="360">
        <f t="shared" ref="BV27:BV35" si="156">$W27*AI27</f>
        <v>0</v>
      </c>
      <c r="BW27" s="360">
        <f t="shared" ref="BW27:BW35" si="157">$X27*AI27</f>
        <v>0</v>
      </c>
      <c r="BX27" s="360">
        <f t="shared" ref="BX27:BX35" si="158">$Y27*AI27</f>
        <v>0</v>
      </c>
      <c r="BY27" s="360">
        <f t="shared" ref="BY27:BY35" si="159">$Z27*AI27</f>
        <v>0</v>
      </c>
      <c r="BZ27" s="360">
        <f t="shared" ref="BZ27:BZ35" si="160">$U27*AJ27</f>
        <v>0</v>
      </c>
      <c r="CA27" s="360">
        <f t="shared" ref="CA27:CA35" si="161">$V27*AJ27</f>
        <v>0</v>
      </c>
      <c r="CB27" s="360">
        <f t="shared" ref="CB27:CB35" si="162">$W27*AJ27</f>
        <v>0</v>
      </c>
      <c r="CC27" s="360">
        <f t="shared" ref="CC27:CC35" si="163">$X27*AJ27</f>
        <v>0</v>
      </c>
      <c r="CD27" s="360">
        <f t="shared" ref="CD27:CD35" si="164">$Y27*AJ27</f>
        <v>0</v>
      </c>
      <c r="CE27" s="360">
        <f t="shared" ref="CE27:CE35" si="165">$Z27*AJ27</f>
        <v>0</v>
      </c>
      <c r="CF27" s="360">
        <f t="shared" ref="CF27:CF35" si="166">$U27*AK27</f>
        <v>0</v>
      </c>
      <c r="CG27" s="360">
        <f t="shared" ref="CG27:CG35" si="167">$V27*AK27</f>
        <v>0</v>
      </c>
      <c r="CH27" s="360">
        <f t="shared" ref="CH27:CH35" si="168">$W27*AK27</f>
        <v>0</v>
      </c>
      <c r="CI27" s="360">
        <f t="shared" ref="CI27:CI35" si="169">$X27*AK27</f>
        <v>0</v>
      </c>
      <c r="CJ27" s="360">
        <f t="shared" ref="CJ27:CJ35" si="170">$Y27*AK27</f>
        <v>0</v>
      </c>
      <c r="CK27" s="360">
        <f t="shared" ref="CK27:CK35" si="171">$Z27*AK27</f>
        <v>0</v>
      </c>
      <c r="CL27" s="360">
        <f t="shared" ref="CL27:CL35" si="172">$U27*AL27</f>
        <v>0</v>
      </c>
      <c r="CM27" s="360">
        <f t="shared" ref="CM27:CM35" si="173">$V27*AL27</f>
        <v>0</v>
      </c>
      <c r="CN27" s="360">
        <f t="shared" ref="CN27:CN35" si="174">$W27*AL27</f>
        <v>0</v>
      </c>
      <c r="CO27" s="360">
        <f t="shared" ref="CO27:CO35" si="175">$X27*AL27</f>
        <v>0</v>
      </c>
      <c r="CP27" s="360">
        <f t="shared" ref="CP27:CP35" si="176">$Y27*AL27</f>
        <v>0</v>
      </c>
      <c r="CQ27" s="360">
        <f t="shared" ref="CQ27:CQ35" si="177">$Z27*AL27</f>
        <v>0</v>
      </c>
      <c r="CR27" s="360">
        <f t="shared" ref="CR27:CR35" si="178">$U27*AM27</f>
        <v>0</v>
      </c>
      <c r="CS27" s="360">
        <f t="shared" ref="CS27:CS35" si="179">$V27*AM27</f>
        <v>0</v>
      </c>
      <c r="CT27" s="360">
        <f t="shared" ref="CT27:CT35" si="180">$W27*AM27</f>
        <v>0</v>
      </c>
      <c r="CU27" s="360">
        <f t="shared" ref="CU27:CU35" si="181">$X27*AM27</f>
        <v>0</v>
      </c>
      <c r="CV27" s="360">
        <f t="shared" ref="CV27:CV35" si="182">$Y27*AM27</f>
        <v>0</v>
      </c>
      <c r="CW27" s="360">
        <f t="shared" ref="CW27:CW35" si="183">$Z27*AM27</f>
        <v>0</v>
      </c>
      <c r="CX27" s="360">
        <f t="shared" ref="CX27:CX35" si="184">$U27*AN27</f>
        <v>0</v>
      </c>
      <c r="CY27" s="360">
        <f t="shared" ref="CY27:CY35" si="185">$V27*AN27</f>
        <v>0</v>
      </c>
      <c r="CZ27" s="360">
        <f t="shared" ref="CZ27:CZ35" si="186">$W27*AN27</f>
        <v>0</v>
      </c>
      <c r="DA27" s="360">
        <f t="shared" ref="DA27:DA35" si="187">$X27*AN27</f>
        <v>0</v>
      </c>
      <c r="DB27" s="360">
        <f t="shared" ref="DB27:DB35" si="188">$Y27*AN27</f>
        <v>0</v>
      </c>
      <c r="DC27" s="360">
        <f t="shared" ref="DC27:DC35" si="189">$Z27*AN27</f>
        <v>0</v>
      </c>
      <c r="DD27" s="360">
        <f t="shared" ref="DD27:DD35" si="190">$U27*AO27</f>
        <v>0</v>
      </c>
      <c r="DE27" s="360">
        <f t="shared" ref="DE27:DE35" si="191">$V27*AO27</f>
        <v>0</v>
      </c>
      <c r="DF27" s="360">
        <f t="shared" ref="DF27:DF35" si="192">$W27*AO27</f>
        <v>0</v>
      </c>
      <c r="DG27" s="360">
        <f t="shared" ref="DG27:DG35" si="193">$X27*AO27</f>
        <v>0</v>
      </c>
      <c r="DH27" s="360">
        <f t="shared" ref="DH27:DH35" si="194">$Y27*AO27</f>
        <v>0</v>
      </c>
      <c r="DI27" s="360">
        <f t="shared" ref="DI27:DI35" si="195">$Z27*AO27</f>
        <v>0</v>
      </c>
    </row>
    <row r="28" spans="1:113" ht="42" x14ac:dyDescent="0.3">
      <c r="A28" s="55" t="s">
        <v>1517</v>
      </c>
      <c r="B28" s="139" t="s">
        <v>1518</v>
      </c>
      <c r="C28" s="11" t="s">
        <v>1519</v>
      </c>
      <c r="D28" s="265" t="s">
        <v>297</v>
      </c>
      <c r="E28" s="11" t="s">
        <v>1458</v>
      </c>
      <c r="F28" s="134" t="s">
        <v>299</v>
      </c>
      <c r="G28" s="175">
        <f>'[1]Costs (Arup)'!F64*18700</f>
        <v>1374450</v>
      </c>
      <c r="H28" s="114" t="s">
        <v>871</v>
      </c>
      <c r="I28" s="59">
        <v>0</v>
      </c>
      <c r="J28" s="59">
        <f>G28-I28</f>
        <v>1374450</v>
      </c>
      <c r="K28" s="126">
        <f>J28</f>
        <v>1374450</v>
      </c>
      <c r="L28" s="126" t="s">
        <v>1453</v>
      </c>
      <c r="M28" s="413">
        <f t="shared" si="51"/>
        <v>0</v>
      </c>
      <c r="N28" s="100" t="s">
        <v>1459</v>
      </c>
      <c r="O28" s="98"/>
      <c r="P28" s="98"/>
      <c r="Q28" s="98"/>
      <c r="R28" s="26"/>
      <c r="S28" s="26"/>
      <c r="T28" s="170"/>
      <c r="U28" s="242">
        <f>[1]Phasing!D23</f>
        <v>0.28846153846153844</v>
      </c>
      <c r="V28" s="242">
        <f>[1]Phasing!E23</f>
        <v>0.44230769230769229</v>
      </c>
      <c r="W28" s="242">
        <f>[1]Phasing!F23</f>
        <v>0.26923076923076922</v>
      </c>
      <c r="X28" s="243">
        <f>[1]Phasing!G23</f>
        <v>0</v>
      </c>
      <c r="Y28" s="243">
        <f>[1]Phasing!H23</f>
        <v>0</v>
      </c>
      <c r="Z28" s="244">
        <f>[1]Phasing!I23</f>
        <v>0</v>
      </c>
      <c r="AA28" s="131" t="s">
        <v>1353</v>
      </c>
      <c r="AB28" s="131" t="s">
        <v>1461</v>
      </c>
      <c r="AC28" s="11" t="s">
        <v>1520</v>
      </c>
      <c r="AD28" s="274" t="s">
        <v>241</v>
      </c>
      <c r="AE28" s="11"/>
      <c r="AF28" s="97" t="s">
        <v>242</v>
      </c>
      <c r="AG28" s="94" t="s">
        <v>252</v>
      </c>
      <c r="AH28" s="177"/>
      <c r="AI28" s="163">
        <f>K28</f>
        <v>1374450</v>
      </c>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288" t="b">
        <f t="shared" si="1"/>
        <v>1</v>
      </c>
      <c r="BN28" s="360">
        <f t="shared" si="148"/>
        <v>0</v>
      </c>
      <c r="BO28" s="360">
        <f t="shared" si="149"/>
        <v>0</v>
      </c>
      <c r="BP28" s="360">
        <f t="shared" si="150"/>
        <v>0</v>
      </c>
      <c r="BQ28" s="360">
        <f t="shared" si="151"/>
        <v>0</v>
      </c>
      <c r="BR28" s="360">
        <f t="shared" si="152"/>
        <v>0</v>
      </c>
      <c r="BS28" s="360">
        <f t="shared" si="153"/>
        <v>0</v>
      </c>
      <c r="BT28" s="360">
        <f t="shared" si="154"/>
        <v>396475.9615384615</v>
      </c>
      <c r="BU28" s="360">
        <f t="shared" si="155"/>
        <v>607929.80769230763</v>
      </c>
      <c r="BV28" s="360">
        <f t="shared" si="156"/>
        <v>370044.23076923075</v>
      </c>
      <c r="BW28" s="360">
        <f t="shared" si="157"/>
        <v>0</v>
      </c>
      <c r="BX28" s="360">
        <f t="shared" si="158"/>
        <v>0</v>
      </c>
      <c r="BY28" s="360">
        <f t="shared" si="159"/>
        <v>0</v>
      </c>
      <c r="BZ28" s="360">
        <f t="shared" si="160"/>
        <v>0</v>
      </c>
      <c r="CA28" s="360">
        <f t="shared" si="161"/>
        <v>0</v>
      </c>
      <c r="CB28" s="360">
        <f t="shared" si="162"/>
        <v>0</v>
      </c>
      <c r="CC28" s="360">
        <f t="shared" si="163"/>
        <v>0</v>
      </c>
      <c r="CD28" s="360">
        <f t="shared" si="164"/>
        <v>0</v>
      </c>
      <c r="CE28" s="360">
        <f t="shared" si="165"/>
        <v>0</v>
      </c>
      <c r="CF28" s="360">
        <f t="shared" si="166"/>
        <v>0</v>
      </c>
      <c r="CG28" s="360">
        <f t="shared" si="167"/>
        <v>0</v>
      </c>
      <c r="CH28" s="360">
        <f t="shared" si="168"/>
        <v>0</v>
      </c>
      <c r="CI28" s="360">
        <f t="shared" si="169"/>
        <v>0</v>
      </c>
      <c r="CJ28" s="360">
        <f t="shared" si="170"/>
        <v>0</v>
      </c>
      <c r="CK28" s="360">
        <f t="shared" si="171"/>
        <v>0</v>
      </c>
      <c r="CL28" s="360">
        <f t="shared" si="172"/>
        <v>0</v>
      </c>
      <c r="CM28" s="360">
        <f t="shared" si="173"/>
        <v>0</v>
      </c>
      <c r="CN28" s="360">
        <f t="shared" si="174"/>
        <v>0</v>
      </c>
      <c r="CO28" s="360">
        <f t="shared" si="175"/>
        <v>0</v>
      </c>
      <c r="CP28" s="360">
        <f t="shared" si="176"/>
        <v>0</v>
      </c>
      <c r="CQ28" s="360">
        <f t="shared" si="177"/>
        <v>0</v>
      </c>
      <c r="CR28" s="360">
        <f t="shared" si="178"/>
        <v>0</v>
      </c>
      <c r="CS28" s="360">
        <f t="shared" si="179"/>
        <v>0</v>
      </c>
      <c r="CT28" s="360">
        <f t="shared" si="180"/>
        <v>0</v>
      </c>
      <c r="CU28" s="360">
        <f t="shared" si="181"/>
        <v>0</v>
      </c>
      <c r="CV28" s="360">
        <f t="shared" si="182"/>
        <v>0</v>
      </c>
      <c r="CW28" s="360">
        <f t="shared" si="183"/>
        <v>0</v>
      </c>
      <c r="CX28" s="360">
        <f t="shared" si="184"/>
        <v>0</v>
      </c>
      <c r="CY28" s="360">
        <f t="shared" si="185"/>
        <v>0</v>
      </c>
      <c r="CZ28" s="360">
        <f t="shared" si="186"/>
        <v>0</v>
      </c>
      <c r="DA28" s="360">
        <f t="shared" si="187"/>
        <v>0</v>
      </c>
      <c r="DB28" s="360">
        <f t="shared" si="188"/>
        <v>0</v>
      </c>
      <c r="DC28" s="360">
        <f t="shared" si="189"/>
        <v>0</v>
      </c>
      <c r="DD28" s="360">
        <f t="shared" si="190"/>
        <v>0</v>
      </c>
      <c r="DE28" s="360">
        <f t="shared" si="191"/>
        <v>0</v>
      </c>
      <c r="DF28" s="360">
        <f t="shared" si="192"/>
        <v>0</v>
      </c>
      <c r="DG28" s="360">
        <f t="shared" si="193"/>
        <v>0</v>
      </c>
      <c r="DH28" s="360">
        <f t="shared" si="194"/>
        <v>0</v>
      </c>
      <c r="DI28" s="360">
        <f t="shared" si="195"/>
        <v>0</v>
      </c>
    </row>
    <row r="29" spans="1:113" ht="42" x14ac:dyDescent="0.3">
      <c r="A29" s="55" t="s">
        <v>1521</v>
      </c>
      <c r="B29" s="139" t="s">
        <v>1522</v>
      </c>
      <c r="C29" s="11" t="s">
        <v>1523</v>
      </c>
      <c r="D29" s="265" t="s">
        <v>297</v>
      </c>
      <c r="E29" s="11" t="s">
        <v>1458</v>
      </c>
      <c r="F29" s="134" t="s">
        <v>299</v>
      </c>
      <c r="G29" s="175">
        <f>'[1]Costs (Arup)'!F65*24900</f>
        <v>3294270.0000000005</v>
      </c>
      <c r="H29" s="114" t="s">
        <v>871</v>
      </c>
      <c r="I29" s="59">
        <v>0</v>
      </c>
      <c r="J29" s="59">
        <f>G29-I29</f>
        <v>3294270.0000000005</v>
      </c>
      <c r="K29" s="126">
        <f>J29</f>
        <v>3294270.0000000005</v>
      </c>
      <c r="L29" s="126" t="s">
        <v>1453</v>
      </c>
      <c r="M29" s="413">
        <f t="shared" si="51"/>
        <v>0</v>
      </c>
      <c r="N29" s="100" t="s">
        <v>1459</v>
      </c>
      <c r="O29" s="98"/>
      <c r="P29" s="98"/>
      <c r="Q29" s="98"/>
      <c r="R29" s="26"/>
      <c r="S29" s="26"/>
      <c r="T29" s="170"/>
      <c r="U29" s="242">
        <f>[1]Phasing!D23</f>
        <v>0.28846153846153844</v>
      </c>
      <c r="V29" s="242">
        <f>[1]Phasing!E23</f>
        <v>0.44230769230769229</v>
      </c>
      <c r="W29" s="242">
        <f>[1]Phasing!F23</f>
        <v>0.26923076923076922</v>
      </c>
      <c r="X29" s="243">
        <f>[1]Phasing!G23</f>
        <v>0</v>
      </c>
      <c r="Y29" s="243">
        <f>[1]Phasing!H23</f>
        <v>0</v>
      </c>
      <c r="Z29" s="244">
        <f>[1]Phasing!I23</f>
        <v>0</v>
      </c>
      <c r="AA29" s="131" t="s">
        <v>1353</v>
      </c>
      <c r="AB29" s="131" t="s">
        <v>1461</v>
      </c>
      <c r="AC29" s="11" t="s">
        <v>1520</v>
      </c>
      <c r="AD29" s="274" t="s">
        <v>241</v>
      </c>
      <c r="AE29" s="11"/>
      <c r="AF29" s="97" t="s">
        <v>242</v>
      </c>
      <c r="AG29" s="94" t="s">
        <v>252</v>
      </c>
      <c r="AH29" s="177"/>
      <c r="AI29" s="163">
        <f>K29</f>
        <v>3294270.0000000005</v>
      </c>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288" t="b">
        <f t="shared" si="1"/>
        <v>1</v>
      </c>
      <c r="BN29" s="360">
        <f t="shared" si="148"/>
        <v>0</v>
      </c>
      <c r="BO29" s="360">
        <f t="shared" si="149"/>
        <v>0</v>
      </c>
      <c r="BP29" s="360">
        <f t="shared" si="150"/>
        <v>0</v>
      </c>
      <c r="BQ29" s="360">
        <f t="shared" si="151"/>
        <v>0</v>
      </c>
      <c r="BR29" s="360">
        <f t="shared" si="152"/>
        <v>0</v>
      </c>
      <c r="BS29" s="360">
        <f t="shared" si="153"/>
        <v>0</v>
      </c>
      <c r="BT29" s="360">
        <f t="shared" si="154"/>
        <v>950270.19230769237</v>
      </c>
      <c r="BU29" s="360">
        <f t="shared" si="155"/>
        <v>1457080.9615384617</v>
      </c>
      <c r="BV29" s="360">
        <f t="shared" si="156"/>
        <v>886918.84615384624</v>
      </c>
      <c r="BW29" s="360">
        <f t="shared" si="157"/>
        <v>0</v>
      </c>
      <c r="BX29" s="360">
        <f t="shared" si="158"/>
        <v>0</v>
      </c>
      <c r="BY29" s="360">
        <f t="shared" si="159"/>
        <v>0</v>
      </c>
      <c r="BZ29" s="360">
        <f t="shared" si="160"/>
        <v>0</v>
      </c>
      <c r="CA29" s="360">
        <f t="shared" si="161"/>
        <v>0</v>
      </c>
      <c r="CB29" s="360">
        <f t="shared" si="162"/>
        <v>0</v>
      </c>
      <c r="CC29" s="360">
        <f t="shared" si="163"/>
        <v>0</v>
      </c>
      <c r="CD29" s="360">
        <f t="shared" si="164"/>
        <v>0</v>
      </c>
      <c r="CE29" s="360">
        <f t="shared" si="165"/>
        <v>0</v>
      </c>
      <c r="CF29" s="360">
        <f t="shared" si="166"/>
        <v>0</v>
      </c>
      <c r="CG29" s="360">
        <f t="shared" si="167"/>
        <v>0</v>
      </c>
      <c r="CH29" s="360">
        <f t="shared" si="168"/>
        <v>0</v>
      </c>
      <c r="CI29" s="360">
        <f t="shared" si="169"/>
        <v>0</v>
      </c>
      <c r="CJ29" s="360">
        <f t="shared" si="170"/>
        <v>0</v>
      </c>
      <c r="CK29" s="360">
        <f t="shared" si="171"/>
        <v>0</v>
      </c>
      <c r="CL29" s="360">
        <f t="shared" si="172"/>
        <v>0</v>
      </c>
      <c r="CM29" s="360">
        <f t="shared" si="173"/>
        <v>0</v>
      </c>
      <c r="CN29" s="360">
        <f t="shared" si="174"/>
        <v>0</v>
      </c>
      <c r="CO29" s="360">
        <f t="shared" si="175"/>
        <v>0</v>
      </c>
      <c r="CP29" s="360">
        <f t="shared" si="176"/>
        <v>0</v>
      </c>
      <c r="CQ29" s="360">
        <f t="shared" si="177"/>
        <v>0</v>
      </c>
      <c r="CR29" s="360">
        <f t="shared" si="178"/>
        <v>0</v>
      </c>
      <c r="CS29" s="360">
        <f t="shared" si="179"/>
        <v>0</v>
      </c>
      <c r="CT29" s="360">
        <f t="shared" si="180"/>
        <v>0</v>
      </c>
      <c r="CU29" s="360">
        <f t="shared" si="181"/>
        <v>0</v>
      </c>
      <c r="CV29" s="360">
        <f t="shared" si="182"/>
        <v>0</v>
      </c>
      <c r="CW29" s="360">
        <f t="shared" si="183"/>
        <v>0</v>
      </c>
      <c r="CX29" s="360">
        <f t="shared" si="184"/>
        <v>0</v>
      </c>
      <c r="CY29" s="360">
        <f t="shared" si="185"/>
        <v>0</v>
      </c>
      <c r="CZ29" s="360">
        <f t="shared" si="186"/>
        <v>0</v>
      </c>
      <c r="DA29" s="360">
        <f t="shared" si="187"/>
        <v>0</v>
      </c>
      <c r="DB29" s="360">
        <f t="shared" si="188"/>
        <v>0</v>
      </c>
      <c r="DC29" s="360">
        <f t="shared" si="189"/>
        <v>0</v>
      </c>
      <c r="DD29" s="360">
        <f t="shared" si="190"/>
        <v>0</v>
      </c>
      <c r="DE29" s="360">
        <f t="shared" si="191"/>
        <v>0</v>
      </c>
      <c r="DF29" s="360">
        <f t="shared" si="192"/>
        <v>0</v>
      </c>
      <c r="DG29" s="360">
        <f t="shared" si="193"/>
        <v>0</v>
      </c>
      <c r="DH29" s="360">
        <f t="shared" si="194"/>
        <v>0</v>
      </c>
      <c r="DI29" s="360">
        <f t="shared" si="195"/>
        <v>0</v>
      </c>
    </row>
    <row r="30" spans="1:113" ht="28" x14ac:dyDescent="0.3">
      <c r="A30" s="55" t="s">
        <v>1524</v>
      </c>
      <c r="B30" s="139" t="s">
        <v>1525</v>
      </c>
      <c r="C30" s="11" t="s">
        <v>1526</v>
      </c>
      <c r="D30" s="265" t="s">
        <v>297</v>
      </c>
      <c r="E30" s="11" t="s">
        <v>1452</v>
      </c>
      <c r="F30" s="134" t="s">
        <v>299</v>
      </c>
      <c r="G30" s="175">
        <f>'[1]Costs (Arup)'!F65*6200</f>
        <v>820260.00000000012</v>
      </c>
      <c r="H30" s="114" t="s">
        <v>871</v>
      </c>
      <c r="I30" s="59">
        <v>0</v>
      </c>
      <c r="J30" s="59">
        <f t="shared" si="0"/>
        <v>820260.00000000012</v>
      </c>
      <c r="K30" s="126">
        <f t="shared" si="50"/>
        <v>820260.00000000012</v>
      </c>
      <c r="L30" s="126" t="s">
        <v>1453</v>
      </c>
      <c r="M30" s="413">
        <f t="shared" si="51"/>
        <v>0</v>
      </c>
      <c r="N30" s="100" t="s">
        <v>402</v>
      </c>
      <c r="O30" s="98"/>
      <c r="P30" s="98"/>
      <c r="Q30" s="98"/>
      <c r="R30" s="26"/>
      <c r="S30" s="26"/>
      <c r="T30" s="170"/>
      <c r="U30" s="242">
        <f>[1]Phasing!D24</f>
        <v>4.7619047619047616E-2</v>
      </c>
      <c r="V30" s="242">
        <f>[1]Phasing!E24</f>
        <v>0.47619047619047616</v>
      </c>
      <c r="W30" s="242">
        <f>[1]Phasing!F24</f>
        <v>0.47619047619047616</v>
      </c>
      <c r="X30" s="243">
        <f>[1]Phasing!G24</f>
        <v>0</v>
      </c>
      <c r="Y30" s="243">
        <f>[1]Phasing!H24</f>
        <v>0</v>
      </c>
      <c r="Z30" s="244">
        <f>[1]Phasing!I24</f>
        <v>0</v>
      </c>
      <c r="AA30" s="131"/>
      <c r="AB30" s="131" t="s">
        <v>239</v>
      </c>
      <c r="AC30" s="11" t="s">
        <v>1454</v>
      </c>
      <c r="AD30" s="274" t="s">
        <v>241</v>
      </c>
      <c r="AE30" s="11"/>
      <c r="AF30" s="97" t="s">
        <v>242</v>
      </c>
      <c r="AG30" s="94" t="s">
        <v>252</v>
      </c>
      <c r="AH30" s="177"/>
      <c r="AI30" s="132"/>
      <c r="AJ30" s="87">
        <f>K30</f>
        <v>820260.00000000012</v>
      </c>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288" t="b">
        <f t="shared" si="1"/>
        <v>1</v>
      </c>
      <c r="BN30" s="360">
        <f t="shared" si="148"/>
        <v>0</v>
      </c>
      <c r="BO30" s="360">
        <f t="shared" si="149"/>
        <v>0</v>
      </c>
      <c r="BP30" s="360">
        <f t="shared" si="150"/>
        <v>0</v>
      </c>
      <c r="BQ30" s="360">
        <f t="shared" si="151"/>
        <v>0</v>
      </c>
      <c r="BR30" s="360">
        <f t="shared" si="152"/>
        <v>0</v>
      </c>
      <c r="BS30" s="360">
        <f t="shared" si="153"/>
        <v>0</v>
      </c>
      <c r="BT30" s="360">
        <f t="shared" si="154"/>
        <v>0</v>
      </c>
      <c r="BU30" s="360">
        <f t="shared" si="155"/>
        <v>0</v>
      </c>
      <c r="BV30" s="360">
        <f t="shared" si="156"/>
        <v>0</v>
      </c>
      <c r="BW30" s="360">
        <f t="shared" si="157"/>
        <v>0</v>
      </c>
      <c r="BX30" s="360">
        <f t="shared" si="158"/>
        <v>0</v>
      </c>
      <c r="BY30" s="360">
        <f t="shared" si="159"/>
        <v>0</v>
      </c>
      <c r="BZ30" s="360">
        <f t="shared" si="160"/>
        <v>39060</v>
      </c>
      <c r="CA30" s="360">
        <f t="shared" si="161"/>
        <v>390600.00000000006</v>
      </c>
      <c r="CB30" s="360">
        <f t="shared" si="162"/>
        <v>390600.00000000006</v>
      </c>
      <c r="CC30" s="360">
        <f t="shared" si="163"/>
        <v>0</v>
      </c>
      <c r="CD30" s="360">
        <f t="shared" si="164"/>
        <v>0</v>
      </c>
      <c r="CE30" s="360">
        <f t="shared" si="165"/>
        <v>0</v>
      </c>
      <c r="CF30" s="360">
        <f t="shared" si="166"/>
        <v>0</v>
      </c>
      <c r="CG30" s="360">
        <f t="shared" si="167"/>
        <v>0</v>
      </c>
      <c r="CH30" s="360">
        <f t="shared" si="168"/>
        <v>0</v>
      </c>
      <c r="CI30" s="360">
        <f t="shared" si="169"/>
        <v>0</v>
      </c>
      <c r="CJ30" s="360">
        <f t="shared" si="170"/>
        <v>0</v>
      </c>
      <c r="CK30" s="360">
        <f t="shared" si="171"/>
        <v>0</v>
      </c>
      <c r="CL30" s="360">
        <f t="shared" si="172"/>
        <v>0</v>
      </c>
      <c r="CM30" s="360">
        <f t="shared" si="173"/>
        <v>0</v>
      </c>
      <c r="CN30" s="360">
        <f t="shared" si="174"/>
        <v>0</v>
      </c>
      <c r="CO30" s="360">
        <f t="shared" si="175"/>
        <v>0</v>
      </c>
      <c r="CP30" s="360">
        <f t="shared" si="176"/>
        <v>0</v>
      </c>
      <c r="CQ30" s="360">
        <f t="shared" si="177"/>
        <v>0</v>
      </c>
      <c r="CR30" s="360">
        <f t="shared" si="178"/>
        <v>0</v>
      </c>
      <c r="CS30" s="360">
        <f t="shared" si="179"/>
        <v>0</v>
      </c>
      <c r="CT30" s="360">
        <f t="shared" si="180"/>
        <v>0</v>
      </c>
      <c r="CU30" s="360">
        <f t="shared" si="181"/>
        <v>0</v>
      </c>
      <c r="CV30" s="360">
        <f t="shared" si="182"/>
        <v>0</v>
      </c>
      <c r="CW30" s="360">
        <f t="shared" si="183"/>
        <v>0</v>
      </c>
      <c r="CX30" s="360">
        <f t="shared" si="184"/>
        <v>0</v>
      </c>
      <c r="CY30" s="360">
        <f t="shared" si="185"/>
        <v>0</v>
      </c>
      <c r="CZ30" s="360">
        <f t="shared" si="186"/>
        <v>0</v>
      </c>
      <c r="DA30" s="360">
        <f t="shared" si="187"/>
        <v>0</v>
      </c>
      <c r="DB30" s="360">
        <f t="shared" si="188"/>
        <v>0</v>
      </c>
      <c r="DC30" s="360">
        <f t="shared" si="189"/>
        <v>0</v>
      </c>
      <c r="DD30" s="360">
        <f t="shared" si="190"/>
        <v>0</v>
      </c>
      <c r="DE30" s="360">
        <f t="shared" si="191"/>
        <v>0</v>
      </c>
      <c r="DF30" s="360">
        <f t="shared" si="192"/>
        <v>0</v>
      </c>
      <c r="DG30" s="360">
        <f t="shared" si="193"/>
        <v>0</v>
      </c>
      <c r="DH30" s="360">
        <f t="shared" si="194"/>
        <v>0</v>
      </c>
      <c r="DI30" s="360">
        <f t="shared" si="195"/>
        <v>0</v>
      </c>
    </row>
    <row r="31" spans="1:113" ht="28" x14ac:dyDescent="0.3">
      <c r="A31" s="55" t="s">
        <v>1527</v>
      </c>
      <c r="B31" s="139" t="s">
        <v>1528</v>
      </c>
      <c r="C31" s="11" t="s">
        <v>1529</v>
      </c>
      <c r="D31" s="265" t="s">
        <v>297</v>
      </c>
      <c r="E31" s="11" t="s">
        <v>1452</v>
      </c>
      <c r="F31" s="134" t="s">
        <v>299</v>
      </c>
      <c r="G31" s="175">
        <f>'[1]Costs (Arup)'!F65*12100</f>
        <v>1600830.0000000002</v>
      </c>
      <c r="H31" s="114" t="s">
        <v>871</v>
      </c>
      <c r="I31" s="59">
        <v>0</v>
      </c>
      <c r="J31" s="59">
        <f t="shared" si="0"/>
        <v>1600830.0000000002</v>
      </c>
      <c r="K31" s="126">
        <f t="shared" si="50"/>
        <v>1600830.0000000002</v>
      </c>
      <c r="L31" s="126" t="s">
        <v>1453</v>
      </c>
      <c r="M31" s="413">
        <f t="shared" si="51"/>
        <v>0</v>
      </c>
      <c r="N31" s="100" t="s">
        <v>402</v>
      </c>
      <c r="O31" s="98"/>
      <c r="P31" s="98"/>
      <c r="Q31" s="98"/>
      <c r="R31" s="9"/>
      <c r="S31" s="9"/>
      <c r="T31" s="103"/>
      <c r="U31" s="242">
        <f>[1]Phasing!D$27</f>
        <v>4.7619047619047616E-2</v>
      </c>
      <c r="V31" s="242">
        <f>[1]Phasing!E$27</f>
        <v>0.47619047619047616</v>
      </c>
      <c r="W31" s="242">
        <f>[1]Phasing!F$27</f>
        <v>0.47619047619047616</v>
      </c>
      <c r="X31" s="245">
        <f>[1]Phasing!G$27</f>
        <v>0</v>
      </c>
      <c r="Y31" s="245">
        <f>[1]Phasing!H$27</f>
        <v>0</v>
      </c>
      <c r="Z31" s="246">
        <f>[1]Phasing!I$27</f>
        <v>0</v>
      </c>
      <c r="AA31" s="131"/>
      <c r="AB31" s="131" t="s">
        <v>239</v>
      </c>
      <c r="AC31" s="11" t="s">
        <v>1454</v>
      </c>
      <c r="AD31" s="274" t="s">
        <v>241</v>
      </c>
      <c r="AE31" s="11"/>
      <c r="AF31" s="97" t="s">
        <v>242</v>
      </c>
      <c r="AG31" s="94" t="s">
        <v>252</v>
      </c>
      <c r="AH31" s="177"/>
      <c r="AI31" s="132"/>
      <c r="AJ31" s="8"/>
      <c r="AK31" s="87">
        <f>$K$31*'[1]Apportionment %'!F5</f>
        <v>604242.19363891496</v>
      </c>
      <c r="AL31" s="87">
        <f>$K$31*'[1]Apportionment %'!G5</f>
        <v>996587.80636108527</v>
      </c>
      <c r="AM31" s="8"/>
      <c r="AN31" s="8"/>
      <c r="AO31" s="8"/>
      <c r="AP31" s="8"/>
      <c r="AQ31" s="8"/>
      <c r="AR31" s="8"/>
      <c r="AS31" s="8"/>
      <c r="AT31" s="8"/>
      <c r="AU31" s="8"/>
      <c r="AV31" s="8"/>
      <c r="AW31" s="8"/>
      <c r="AX31" s="8"/>
      <c r="AY31" s="8"/>
      <c r="AZ31" s="8"/>
      <c r="BA31" s="8"/>
      <c r="BB31" s="8"/>
      <c r="BC31" s="8"/>
      <c r="BD31" s="8"/>
      <c r="BE31" s="8"/>
      <c r="BF31" s="8"/>
      <c r="BG31" s="8"/>
      <c r="BH31" s="8"/>
      <c r="BI31" s="8"/>
      <c r="BJ31" s="8"/>
      <c r="BK31" s="288" t="b">
        <f t="shared" si="1"/>
        <v>1</v>
      </c>
      <c r="BN31" s="360">
        <f t="shared" si="148"/>
        <v>0</v>
      </c>
      <c r="BO31" s="360">
        <f t="shared" si="149"/>
        <v>0</v>
      </c>
      <c r="BP31" s="360">
        <f t="shared" si="150"/>
        <v>0</v>
      </c>
      <c r="BQ31" s="360">
        <f t="shared" si="151"/>
        <v>0</v>
      </c>
      <c r="BR31" s="360">
        <f t="shared" si="152"/>
        <v>0</v>
      </c>
      <c r="BS31" s="360">
        <f t="shared" si="153"/>
        <v>0</v>
      </c>
      <c r="BT31" s="360">
        <f t="shared" si="154"/>
        <v>0</v>
      </c>
      <c r="BU31" s="360">
        <f t="shared" si="155"/>
        <v>0</v>
      </c>
      <c r="BV31" s="360">
        <f t="shared" si="156"/>
        <v>0</v>
      </c>
      <c r="BW31" s="360">
        <f t="shared" si="157"/>
        <v>0</v>
      </c>
      <c r="BX31" s="360">
        <f t="shared" si="158"/>
        <v>0</v>
      </c>
      <c r="BY31" s="360">
        <f t="shared" si="159"/>
        <v>0</v>
      </c>
      <c r="BZ31" s="360">
        <f t="shared" si="160"/>
        <v>0</v>
      </c>
      <c r="CA31" s="360">
        <f t="shared" si="161"/>
        <v>0</v>
      </c>
      <c r="CB31" s="360">
        <f t="shared" si="162"/>
        <v>0</v>
      </c>
      <c r="CC31" s="360">
        <f t="shared" si="163"/>
        <v>0</v>
      </c>
      <c r="CD31" s="360">
        <f t="shared" si="164"/>
        <v>0</v>
      </c>
      <c r="CE31" s="360">
        <f t="shared" si="165"/>
        <v>0</v>
      </c>
      <c r="CF31" s="360">
        <f t="shared" si="166"/>
        <v>28773.437792329281</v>
      </c>
      <c r="CG31" s="360">
        <f t="shared" si="167"/>
        <v>287734.37792329281</v>
      </c>
      <c r="CH31" s="360">
        <f t="shared" si="168"/>
        <v>287734.37792329281</v>
      </c>
      <c r="CI31" s="360">
        <f t="shared" si="169"/>
        <v>0</v>
      </c>
      <c r="CJ31" s="360">
        <f t="shared" si="170"/>
        <v>0</v>
      </c>
      <c r="CK31" s="360">
        <f t="shared" si="171"/>
        <v>0</v>
      </c>
      <c r="CL31" s="360">
        <f t="shared" si="172"/>
        <v>47456.562207670722</v>
      </c>
      <c r="CM31" s="360">
        <f t="shared" si="173"/>
        <v>474565.62207670725</v>
      </c>
      <c r="CN31" s="360">
        <f t="shared" si="174"/>
        <v>474565.62207670725</v>
      </c>
      <c r="CO31" s="360">
        <f t="shared" si="175"/>
        <v>0</v>
      </c>
      <c r="CP31" s="360">
        <f t="shared" si="176"/>
        <v>0</v>
      </c>
      <c r="CQ31" s="360">
        <f t="shared" si="177"/>
        <v>0</v>
      </c>
      <c r="CR31" s="360">
        <f t="shared" si="178"/>
        <v>0</v>
      </c>
      <c r="CS31" s="360">
        <f t="shared" si="179"/>
        <v>0</v>
      </c>
      <c r="CT31" s="360">
        <f t="shared" si="180"/>
        <v>0</v>
      </c>
      <c r="CU31" s="360">
        <f t="shared" si="181"/>
        <v>0</v>
      </c>
      <c r="CV31" s="360">
        <f t="shared" si="182"/>
        <v>0</v>
      </c>
      <c r="CW31" s="360">
        <f t="shared" si="183"/>
        <v>0</v>
      </c>
      <c r="CX31" s="360">
        <f t="shared" si="184"/>
        <v>0</v>
      </c>
      <c r="CY31" s="360">
        <f t="shared" si="185"/>
        <v>0</v>
      </c>
      <c r="CZ31" s="360">
        <f t="shared" si="186"/>
        <v>0</v>
      </c>
      <c r="DA31" s="360">
        <f t="shared" si="187"/>
        <v>0</v>
      </c>
      <c r="DB31" s="360">
        <f t="shared" si="188"/>
        <v>0</v>
      </c>
      <c r="DC31" s="360">
        <f t="shared" si="189"/>
        <v>0</v>
      </c>
      <c r="DD31" s="360">
        <f t="shared" si="190"/>
        <v>0</v>
      </c>
      <c r="DE31" s="360">
        <f t="shared" si="191"/>
        <v>0</v>
      </c>
      <c r="DF31" s="360">
        <f t="shared" si="192"/>
        <v>0</v>
      </c>
      <c r="DG31" s="360">
        <f t="shared" si="193"/>
        <v>0</v>
      </c>
      <c r="DH31" s="360">
        <f t="shared" si="194"/>
        <v>0</v>
      </c>
      <c r="DI31" s="360">
        <f t="shared" si="195"/>
        <v>0</v>
      </c>
    </row>
    <row r="32" spans="1:113" ht="28" x14ac:dyDescent="0.3">
      <c r="A32" s="55" t="s">
        <v>1530</v>
      </c>
      <c r="B32" s="139"/>
      <c r="C32" s="50" t="s">
        <v>1531</v>
      </c>
      <c r="D32" s="265" t="s">
        <v>297</v>
      </c>
      <c r="E32" s="11" t="s">
        <v>1471</v>
      </c>
      <c r="F32" s="134" t="s">
        <v>299</v>
      </c>
      <c r="G32" s="175">
        <f>'[1]Costs (Arup)'!F64*47600</f>
        <v>3498600</v>
      </c>
      <c r="H32" s="114" t="s">
        <v>871</v>
      </c>
      <c r="I32" s="59">
        <v>0</v>
      </c>
      <c r="J32" s="59">
        <f t="shared" si="0"/>
        <v>3498600</v>
      </c>
      <c r="K32" s="126">
        <f t="shared" si="50"/>
        <v>3498600</v>
      </c>
      <c r="L32" s="126" t="s">
        <v>1453</v>
      </c>
      <c r="M32" s="413">
        <f t="shared" si="51"/>
        <v>0</v>
      </c>
      <c r="N32" s="100" t="s">
        <v>890</v>
      </c>
      <c r="O32" s="98"/>
      <c r="P32" s="98"/>
      <c r="Q32" s="98"/>
      <c r="R32" s="98"/>
      <c r="S32" s="98"/>
      <c r="T32" s="160"/>
      <c r="U32" s="242">
        <f>[1]Phasing!D$29</f>
        <v>2.5529411764705884E-2</v>
      </c>
      <c r="V32" s="242">
        <f>[1]Phasing!E$29</f>
        <v>9.8000000000000004E-2</v>
      </c>
      <c r="W32" s="242">
        <f>[1]Phasing!F$29</f>
        <v>0.11764705882352941</v>
      </c>
      <c r="X32" s="242">
        <f>[1]Phasing!G$29</f>
        <v>0.11764705882352941</v>
      </c>
      <c r="Y32" s="242">
        <f>[1]Phasing!H$29</f>
        <v>0.17647058823529413</v>
      </c>
      <c r="Z32" s="247">
        <f>[1]Phasing!I$29</f>
        <v>0.46470588235294119</v>
      </c>
      <c r="AA32" s="131" t="s">
        <v>1532</v>
      </c>
      <c r="AB32" s="32"/>
      <c r="AC32" s="11" t="s">
        <v>1473</v>
      </c>
      <c r="AD32" s="274" t="s">
        <v>241</v>
      </c>
      <c r="AE32" s="11"/>
      <c r="AF32" s="97" t="s">
        <v>242</v>
      </c>
      <c r="AG32" s="94" t="s">
        <v>252</v>
      </c>
      <c r="AH32" s="177"/>
      <c r="AI32" s="132"/>
      <c r="AJ32" s="8"/>
      <c r="AK32" s="8"/>
      <c r="AL32" s="8"/>
      <c r="AM32" s="87">
        <f>K32</f>
        <v>3498600</v>
      </c>
      <c r="AN32" s="8"/>
      <c r="AO32" s="8"/>
      <c r="AP32" s="8"/>
      <c r="AQ32" s="8"/>
      <c r="AR32" s="8"/>
      <c r="AS32" s="8"/>
      <c r="AT32" s="8"/>
      <c r="AU32" s="8"/>
      <c r="AV32" s="8"/>
      <c r="AW32" s="8"/>
      <c r="AX32" s="8"/>
      <c r="AY32" s="8"/>
      <c r="AZ32" s="8"/>
      <c r="BA32" s="8"/>
      <c r="BB32" s="8"/>
      <c r="BC32" s="8"/>
      <c r="BD32" s="8"/>
      <c r="BE32" s="8"/>
      <c r="BF32" s="8"/>
      <c r="BG32" s="8"/>
      <c r="BH32" s="8"/>
      <c r="BI32" s="8"/>
      <c r="BJ32" s="8"/>
      <c r="BK32" s="288" t="b">
        <f t="shared" si="1"/>
        <v>1</v>
      </c>
      <c r="BN32" s="360">
        <f t="shared" si="148"/>
        <v>0</v>
      </c>
      <c r="BO32" s="360">
        <f t="shared" si="149"/>
        <v>0</v>
      </c>
      <c r="BP32" s="360">
        <f t="shared" si="150"/>
        <v>0</v>
      </c>
      <c r="BQ32" s="360">
        <f t="shared" si="151"/>
        <v>0</v>
      </c>
      <c r="BR32" s="360">
        <f t="shared" si="152"/>
        <v>0</v>
      </c>
      <c r="BS32" s="360">
        <f t="shared" si="153"/>
        <v>0</v>
      </c>
      <c r="BT32" s="360">
        <f t="shared" si="154"/>
        <v>0</v>
      </c>
      <c r="BU32" s="360">
        <f t="shared" si="155"/>
        <v>0</v>
      </c>
      <c r="BV32" s="360">
        <f t="shared" si="156"/>
        <v>0</v>
      </c>
      <c r="BW32" s="360">
        <f t="shared" si="157"/>
        <v>0</v>
      </c>
      <c r="BX32" s="360">
        <f t="shared" si="158"/>
        <v>0</v>
      </c>
      <c r="BY32" s="360">
        <f t="shared" si="159"/>
        <v>0</v>
      </c>
      <c r="BZ32" s="360">
        <f t="shared" si="160"/>
        <v>0</v>
      </c>
      <c r="CA32" s="360">
        <f t="shared" si="161"/>
        <v>0</v>
      </c>
      <c r="CB32" s="360">
        <f t="shared" si="162"/>
        <v>0</v>
      </c>
      <c r="CC32" s="360">
        <f t="shared" si="163"/>
        <v>0</v>
      </c>
      <c r="CD32" s="360">
        <f t="shared" si="164"/>
        <v>0</v>
      </c>
      <c r="CE32" s="360">
        <f t="shared" si="165"/>
        <v>0</v>
      </c>
      <c r="CF32" s="360">
        <f t="shared" si="166"/>
        <v>0</v>
      </c>
      <c r="CG32" s="360">
        <f t="shared" si="167"/>
        <v>0</v>
      </c>
      <c r="CH32" s="360">
        <f t="shared" si="168"/>
        <v>0</v>
      </c>
      <c r="CI32" s="360">
        <f t="shared" si="169"/>
        <v>0</v>
      </c>
      <c r="CJ32" s="360">
        <f t="shared" si="170"/>
        <v>0</v>
      </c>
      <c r="CK32" s="360">
        <f t="shared" si="171"/>
        <v>0</v>
      </c>
      <c r="CL32" s="360">
        <f t="shared" si="172"/>
        <v>0</v>
      </c>
      <c r="CM32" s="360">
        <f t="shared" si="173"/>
        <v>0</v>
      </c>
      <c r="CN32" s="360">
        <f t="shared" si="174"/>
        <v>0</v>
      </c>
      <c r="CO32" s="360">
        <f t="shared" si="175"/>
        <v>0</v>
      </c>
      <c r="CP32" s="360">
        <f t="shared" si="176"/>
        <v>0</v>
      </c>
      <c r="CQ32" s="360">
        <f t="shared" si="177"/>
        <v>0</v>
      </c>
      <c r="CR32" s="360">
        <f t="shared" si="178"/>
        <v>89317.200000000012</v>
      </c>
      <c r="CS32" s="360">
        <f t="shared" si="179"/>
        <v>342862.8</v>
      </c>
      <c r="CT32" s="360">
        <f t="shared" si="180"/>
        <v>411600</v>
      </c>
      <c r="CU32" s="360">
        <f t="shared" si="181"/>
        <v>411600</v>
      </c>
      <c r="CV32" s="360">
        <f t="shared" si="182"/>
        <v>617400</v>
      </c>
      <c r="CW32" s="360">
        <f t="shared" si="183"/>
        <v>1625820</v>
      </c>
      <c r="CX32" s="360">
        <f t="shared" si="184"/>
        <v>0</v>
      </c>
      <c r="CY32" s="360">
        <f t="shared" si="185"/>
        <v>0</v>
      </c>
      <c r="CZ32" s="360">
        <f t="shared" si="186"/>
        <v>0</v>
      </c>
      <c r="DA32" s="360">
        <f t="shared" si="187"/>
        <v>0</v>
      </c>
      <c r="DB32" s="360">
        <f t="shared" si="188"/>
        <v>0</v>
      </c>
      <c r="DC32" s="360">
        <f t="shared" si="189"/>
        <v>0</v>
      </c>
      <c r="DD32" s="360">
        <f t="shared" si="190"/>
        <v>0</v>
      </c>
      <c r="DE32" s="360">
        <f t="shared" si="191"/>
        <v>0</v>
      </c>
      <c r="DF32" s="360">
        <f t="shared" si="192"/>
        <v>0</v>
      </c>
      <c r="DG32" s="360">
        <f t="shared" si="193"/>
        <v>0</v>
      </c>
      <c r="DH32" s="360">
        <f t="shared" si="194"/>
        <v>0</v>
      </c>
      <c r="DI32" s="360">
        <f t="shared" si="195"/>
        <v>0</v>
      </c>
    </row>
    <row r="33" spans="1:113" ht="28" x14ac:dyDescent="0.3">
      <c r="A33" s="55" t="s">
        <v>1533</v>
      </c>
      <c r="B33" s="139"/>
      <c r="C33" s="50" t="s">
        <v>1534</v>
      </c>
      <c r="D33" s="265" t="s">
        <v>297</v>
      </c>
      <c r="E33" s="11" t="s">
        <v>1471</v>
      </c>
      <c r="F33" s="134" t="s">
        <v>299</v>
      </c>
      <c r="G33" s="175">
        <f>'[1]Costs (Arup)'!F64*8400</f>
        <v>617400</v>
      </c>
      <c r="H33" s="114" t="s">
        <v>871</v>
      </c>
      <c r="I33" s="59">
        <v>0</v>
      </c>
      <c r="J33" s="59">
        <f t="shared" si="0"/>
        <v>617400</v>
      </c>
      <c r="K33" s="126">
        <f t="shared" si="50"/>
        <v>617400</v>
      </c>
      <c r="L33" s="126" t="s">
        <v>1453</v>
      </c>
      <c r="M33" s="413">
        <f t="shared" si="51"/>
        <v>0</v>
      </c>
      <c r="N33" s="100" t="s">
        <v>890</v>
      </c>
      <c r="O33" s="98"/>
      <c r="P33" s="98"/>
      <c r="Q33" s="98"/>
      <c r="R33" s="98"/>
      <c r="S33" s="98"/>
      <c r="T33" s="160"/>
      <c r="U33" s="242">
        <f>[1]Phasing!D$30</f>
        <v>0</v>
      </c>
      <c r="V33" s="242">
        <f>[1]Phasing!E$30</f>
        <v>0.33333333333333331</v>
      </c>
      <c r="W33" s="242">
        <f>[1]Phasing!F$30</f>
        <v>0.33333333333333331</v>
      </c>
      <c r="X33" s="242">
        <f>[1]Phasing!G$30</f>
        <v>0.33333333333333331</v>
      </c>
      <c r="Y33" s="242">
        <f>[1]Phasing!H$30</f>
        <v>0</v>
      </c>
      <c r="Z33" s="247">
        <f>[1]Phasing!I$30</f>
        <v>0</v>
      </c>
      <c r="AA33" s="131" t="s">
        <v>1532</v>
      </c>
      <c r="AB33" s="32"/>
      <c r="AC33" s="11" t="s">
        <v>1473</v>
      </c>
      <c r="AD33" s="274" t="s">
        <v>241</v>
      </c>
      <c r="AE33" s="11"/>
      <c r="AF33" s="97" t="s">
        <v>242</v>
      </c>
      <c r="AG33" s="94" t="s">
        <v>252</v>
      </c>
      <c r="AH33" s="177"/>
      <c r="AI33" s="132"/>
      <c r="AJ33" s="8"/>
      <c r="AK33" s="8"/>
      <c r="AL33" s="8"/>
      <c r="AM33" s="8"/>
      <c r="AN33" s="87">
        <f>K33</f>
        <v>617400</v>
      </c>
      <c r="AO33" s="8"/>
      <c r="AP33" s="8"/>
      <c r="AQ33" s="8"/>
      <c r="AR33" s="8"/>
      <c r="AS33" s="8"/>
      <c r="AT33" s="8"/>
      <c r="AU33" s="8"/>
      <c r="AV33" s="8"/>
      <c r="AW33" s="8"/>
      <c r="AX33" s="8"/>
      <c r="AY33" s="8"/>
      <c r="AZ33" s="8"/>
      <c r="BA33" s="8"/>
      <c r="BB33" s="8"/>
      <c r="BC33" s="8"/>
      <c r="BD33" s="8"/>
      <c r="BE33" s="8"/>
      <c r="BF33" s="8"/>
      <c r="BG33" s="8"/>
      <c r="BH33" s="8"/>
      <c r="BI33" s="8"/>
      <c r="BJ33" s="8"/>
      <c r="BK33" s="288" t="b">
        <f t="shared" si="1"/>
        <v>1</v>
      </c>
      <c r="BN33" s="360">
        <f t="shared" si="148"/>
        <v>0</v>
      </c>
      <c r="BO33" s="360">
        <f t="shared" si="149"/>
        <v>0</v>
      </c>
      <c r="BP33" s="360">
        <f t="shared" si="150"/>
        <v>0</v>
      </c>
      <c r="BQ33" s="360">
        <f t="shared" si="151"/>
        <v>0</v>
      </c>
      <c r="BR33" s="360">
        <f t="shared" si="152"/>
        <v>0</v>
      </c>
      <c r="BS33" s="360">
        <f t="shared" si="153"/>
        <v>0</v>
      </c>
      <c r="BT33" s="360">
        <f t="shared" si="154"/>
        <v>0</v>
      </c>
      <c r="BU33" s="360">
        <f t="shared" si="155"/>
        <v>0</v>
      </c>
      <c r="BV33" s="360">
        <f t="shared" si="156"/>
        <v>0</v>
      </c>
      <c r="BW33" s="360">
        <f t="shared" si="157"/>
        <v>0</v>
      </c>
      <c r="BX33" s="360">
        <f t="shared" si="158"/>
        <v>0</v>
      </c>
      <c r="BY33" s="360">
        <f t="shared" si="159"/>
        <v>0</v>
      </c>
      <c r="BZ33" s="360">
        <f t="shared" si="160"/>
        <v>0</v>
      </c>
      <c r="CA33" s="360">
        <f t="shared" si="161"/>
        <v>0</v>
      </c>
      <c r="CB33" s="360">
        <f t="shared" si="162"/>
        <v>0</v>
      </c>
      <c r="CC33" s="360">
        <f t="shared" si="163"/>
        <v>0</v>
      </c>
      <c r="CD33" s="360">
        <f t="shared" si="164"/>
        <v>0</v>
      </c>
      <c r="CE33" s="360">
        <f t="shared" si="165"/>
        <v>0</v>
      </c>
      <c r="CF33" s="360">
        <f t="shared" si="166"/>
        <v>0</v>
      </c>
      <c r="CG33" s="360">
        <f t="shared" si="167"/>
        <v>0</v>
      </c>
      <c r="CH33" s="360">
        <f t="shared" si="168"/>
        <v>0</v>
      </c>
      <c r="CI33" s="360">
        <f t="shared" si="169"/>
        <v>0</v>
      </c>
      <c r="CJ33" s="360">
        <f t="shared" si="170"/>
        <v>0</v>
      </c>
      <c r="CK33" s="360">
        <f t="shared" si="171"/>
        <v>0</v>
      </c>
      <c r="CL33" s="360">
        <f t="shared" si="172"/>
        <v>0</v>
      </c>
      <c r="CM33" s="360">
        <f t="shared" si="173"/>
        <v>0</v>
      </c>
      <c r="CN33" s="360">
        <f t="shared" si="174"/>
        <v>0</v>
      </c>
      <c r="CO33" s="360">
        <f t="shared" si="175"/>
        <v>0</v>
      </c>
      <c r="CP33" s="360">
        <f t="shared" si="176"/>
        <v>0</v>
      </c>
      <c r="CQ33" s="360">
        <f t="shared" si="177"/>
        <v>0</v>
      </c>
      <c r="CR33" s="360">
        <f t="shared" si="178"/>
        <v>0</v>
      </c>
      <c r="CS33" s="360">
        <f t="shared" si="179"/>
        <v>0</v>
      </c>
      <c r="CT33" s="360">
        <f t="shared" si="180"/>
        <v>0</v>
      </c>
      <c r="CU33" s="360">
        <f t="shared" si="181"/>
        <v>0</v>
      </c>
      <c r="CV33" s="360">
        <f t="shared" si="182"/>
        <v>0</v>
      </c>
      <c r="CW33" s="360">
        <f t="shared" si="183"/>
        <v>0</v>
      </c>
      <c r="CX33" s="360">
        <f t="shared" si="184"/>
        <v>0</v>
      </c>
      <c r="CY33" s="360">
        <f t="shared" si="185"/>
        <v>205800</v>
      </c>
      <c r="CZ33" s="360">
        <f t="shared" si="186"/>
        <v>205800</v>
      </c>
      <c r="DA33" s="360">
        <f t="shared" si="187"/>
        <v>205800</v>
      </c>
      <c r="DB33" s="360">
        <f t="shared" si="188"/>
        <v>0</v>
      </c>
      <c r="DC33" s="360">
        <f t="shared" si="189"/>
        <v>0</v>
      </c>
      <c r="DD33" s="360">
        <f t="shared" si="190"/>
        <v>0</v>
      </c>
      <c r="DE33" s="360">
        <f t="shared" si="191"/>
        <v>0</v>
      </c>
      <c r="DF33" s="360">
        <f t="shared" si="192"/>
        <v>0</v>
      </c>
      <c r="DG33" s="360">
        <f t="shared" si="193"/>
        <v>0</v>
      </c>
      <c r="DH33" s="360">
        <f t="shared" si="194"/>
        <v>0</v>
      </c>
      <c r="DI33" s="360">
        <f t="shared" si="195"/>
        <v>0</v>
      </c>
    </row>
    <row r="34" spans="1:113" ht="42" x14ac:dyDescent="0.3">
      <c r="A34" s="55" t="s">
        <v>1535</v>
      </c>
      <c r="B34" s="139" t="s">
        <v>1518</v>
      </c>
      <c r="C34" s="11" t="s">
        <v>1536</v>
      </c>
      <c r="D34" s="265" t="s">
        <v>297</v>
      </c>
      <c r="E34" s="11" t="s">
        <v>1458</v>
      </c>
      <c r="F34" s="134" t="s">
        <v>299</v>
      </c>
      <c r="G34" s="175">
        <f>'[1]Costs (Arup)'!F64*8200</f>
        <v>602700</v>
      </c>
      <c r="H34" s="114" t="s">
        <v>871</v>
      </c>
      <c r="I34" s="59">
        <v>0</v>
      </c>
      <c r="J34" s="59">
        <f>G34-I34</f>
        <v>602700</v>
      </c>
      <c r="K34" s="126">
        <f>J34</f>
        <v>602700</v>
      </c>
      <c r="L34" s="126" t="s">
        <v>1453</v>
      </c>
      <c r="M34" s="413">
        <f t="shared" si="51"/>
        <v>0</v>
      </c>
      <c r="N34" s="100" t="s">
        <v>1183</v>
      </c>
      <c r="O34" s="98"/>
      <c r="P34" s="98"/>
      <c r="Q34" s="98"/>
      <c r="R34" s="26"/>
      <c r="S34" s="26"/>
      <c r="T34" s="170"/>
      <c r="U34" s="242">
        <f>[1]Phasing!D$31</f>
        <v>0.17959895379250218</v>
      </c>
      <c r="V34" s="242">
        <f>[1]Phasing!E$31</f>
        <v>0.1054925893635571</v>
      </c>
      <c r="W34" s="242">
        <f>[1]Phasing!F$31</f>
        <v>0.71490845684394067</v>
      </c>
      <c r="X34" s="243">
        <f>[1]Phasing!G$31</f>
        <v>0</v>
      </c>
      <c r="Y34" s="243">
        <f>[1]Phasing!H$31</f>
        <v>0</v>
      </c>
      <c r="Z34" s="244">
        <f>[1]Phasing!I$31</f>
        <v>0</v>
      </c>
      <c r="AA34" s="131" t="s">
        <v>1353</v>
      </c>
      <c r="AB34" s="131" t="s">
        <v>1461</v>
      </c>
      <c r="AC34" s="11" t="s">
        <v>1520</v>
      </c>
      <c r="AD34" s="274" t="s">
        <v>241</v>
      </c>
      <c r="AE34" s="11"/>
      <c r="AF34" s="97" t="s">
        <v>242</v>
      </c>
      <c r="AG34" s="94" t="s">
        <v>252</v>
      </c>
      <c r="AH34" s="177"/>
      <c r="AI34" s="132"/>
      <c r="AJ34" s="8"/>
      <c r="AK34" s="8"/>
      <c r="AL34" s="8"/>
      <c r="AM34" s="8"/>
      <c r="AN34" s="8"/>
      <c r="AO34" s="87">
        <f>$K$34*'[1]Apportionment %'!J6</f>
        <v>341547.51525719272</v>
      </c>
      <c r="AP34" s="87">
        <f>$K$34*'[1]Apportionment %'!K6</f>
        <v>36782.040104620748</v>
      </c>
      <c r="AQ34" s="87">
        <f>$K$34*'[1]Apportionment %'!L6</f>
        <v>36256.582388840456</v>
      </c>
      <c r="AR34" s="87">
        <f>$K$34*'[1]Apportionment %'!M6</f>
        <v>22069.22406277245</v>
      </c>
      <c r="AS34" s="87">
        <f>$K$34*'[1]Apportionment %'!N6</f>
        <v>18916.47776809067</v>
      </c>
      <c r="AT34" s="87">
        <f>$K$34*'[1]Apportionment %'!O6</f>
        <v>18391.020052310374</v>
      </c>
      <c r="AU34" s="87">
        <f>$K$34*'[1]Apportionment %'!P6</f>
        <v>18391.020052310374</v>
      </c>
      <c r="AV34" s="87">
        <f>$K$34*'[1]Apportionment %'!Q6</f>
        <v>18391.020052310374</v>
      </c>
      <c r="AW34" s="87">
        <f>$K$34*'[1]Apportionment %'!R6</f>
        <v>12085.527462946819</v>
      </c>
      <c r="AX34" s="87">
        <f>$K$34*'[1]Apportionment %'!S6</f>
        <v>10509.154315605929</v>
      </c>
      <c r="AY34" s="87">
        <f>$K$34*'[1]Apportionment %'!T6</f>
        <v>8407.323452484743</v>
      </c>
      <c r="AZ34" s="87">
        <f>$K$34*'[1]Apportionment %'!U6</f>
        <v>8407.323452484743</v>
      </c>
      <c r="BA34" s="87">
        <f>$K$34*'[1]Apportionment %'!V6</f>
        <v>7881.8657367044461</v>
      </c>
      <c r="BB34" s="87">
        <f>$K$34*'[1]Apportionment %'!W6</f>
        <v>6830.9503051438533</v>
      </c>
      <c r="BC34" s="87">
        <f>$K$34*'[1]Apportionment %'!X6</f>
        <v>6305.4925893635573</v>
      </c>
      <c r="BD34" s="87">
        <f>$K$34*'[1]Apportionment %'!Y6</f>
        <v>5254.5771578029644</v>
      </c>
      <c r="BE34" s="87">
        <f>$K$34*'[1]Apportionment %'!Z6</f>
        <v>5254.5771578029644</v>
      </c>
      <c r="BF34" s="87">
        <f>$K$34*'[1]Apportionment %'!AA6</f>
        <v>5254.5771578029644</v>
      </c>
      <c r="BG34" s="87">
        <f>$K$34*'[1]Apportionment %'!AB6</f>
        <v>5254.5771578029644</v>
      </c>
      <c r="BH34" s="87">
        <f>$K$34*'[1]Apportionment %'!AC6</f>
        <v>5254.5771578029644</v>
      </c>
      <c r="BI34" s="87">
        <f>$K$34*'[1]Apportionment %'!AD6</f>
        <v>5254.5771578029644</v>
      </c>
      <c r="BJ34" s="8"/>
      <c r="BK34" s="288" t="b">
        <f t="shared" si="1"/>
        <v>1</v>
      </c>
      <c r="BN34" s="360">
        <f t="shared" si="148"/>
        <v>0</v>
      </c>
      <c r="BO34" s="360">
        <f t="shared" si="149"/>
        <v>0</v>
      </c>
      <c r="BP34" s="360">
        <f t="shared" si="150"/>
        <v>0</v>
      </c>
      <c r="BQ34" s="360">
        <f t="shared" si="151"/>
        <v>0</v>
      </c>
      <c r="BR34" s="360">
        <f t="shared" si="152"/>
        <v>0</v>
      </c>
      <c r="BS34" s="360">
        <f t="shared" si="153"/>
        <v>0</v>
      </c>
      <c r="BT34" s="360">
        <f t="shared" si="154"/>
        <v>0</v>
      </c>
      <c r="BU34" s="360">
        <f t="shared" si="155"/>
        <v>0</v>
      </c>
      <c r="BV34" s="360">
        <f t="shared" si="156"/>
        <v>0</v>
      </c>
      <c r="BW34" s="360">
        <f t="shared" si="157"/>
        <v>0</v>
      </c>
      <c r="BX34" s="360">
        <f t="shared" si="158"/>
        <v>0</v>
      </c>
      <c r="BY34" s="360">
        <f t="shared" si="159"/>
        <v>0</v>
      </c>
      <c r="BZ34" s="360">
        <f t="shared" si="160"/>
        <v>0</v>
      </c>
      <c r="CA34" s="360">
        <f t="shared" si="161"/>
        <v>0</v>
      </c>
      <c r="CB34" s="360">
        <f t="shared" si="162"/>
        <v>0</v>
      </c>
      <c r="CC34" s="360">
        <f t="shared" si="163"/>
        <v>0</v>
      </c>
      <c r="CD34" s="360">
        <f t="shared" si="164"/>
        <v>0</v>
      </c>
      <c r="CE34" s="360">
        <f t="shared" si="165"/>
        <v>0</v>
      </c>
      <c r="CF34" s="360">
        <f t="shared" si="166"/>
        <v>0</v>
      </c>
      <c r="CG34" s="360">
        <f t="shared" si="167"/>
        <v>0</v>
      </c>
      <c r="CH34" s="360">
        <f t="shared" si="168"/>
        <v>0</v>
      </c>
      <c r="CI34" s="360">
        <f t="shared" si="169"/>
        <v>0</v>
      </c>
      <c r="CJ34" s="360">
        <f t="shared" si="170"/>
        <v>0</v>
      </c>
      <c r="CK34" s="360">
        <f t="shared" si="171"/>
        <v>0</v>
      </c>
      <c r="CL34" s="360">
        <f t="shared" si="172"/>
        <v>0</v>
      </c>
      <c r="CM34" s="360">
        <f t="shared" si="173"/>
        <v>0</v>
      </c>
      <c r="CN34" s="360">
        <f t="shared" si="174"/>
        <v>0</v>
      </c>
      <c r="CO34" s="360">
        <f t="shared" si="175"/>
        <v>0</v>
      </c>
      <c r="CP34" s="360">
        <f t="shared" si="176"/>
        <v>0</v>
      </c>
      <c r="CQ34" s="360">
        <f t="shared" si="177"/>
        <v>0</v>
      </c>
      <c r="CR34" s="360">
        <f t="shared" si="178"/>
        <v>0</v>
      </c>
      <c r="CS34" s="360">
        <f t="shared" si="179"/>
        <v>0</v>
      </c>
      <c r="CT34" s="360">
        <f t="shared" si="180"/>
        <v>0</v>
      </c>
      <c r="CU34" s="360">
        <f t="shared" si="181"/>
        <v>0</v>
      </c>
      <c r="CV34" s="360">
        <f t="shared" si="182"/>
        <v>0</v>
      </c>
      <c r="CW34" s="360">
        <f t="shared" si="183"/>
        <v>0</v>
      </c>
      <c r="CX34" s="360">
        <f t="shared" si="184"/>
        <v>0</v>
      </c>
      <c r="CY34" s="360">
        <f t="shared" si="185"/>
        <v>0</v>
      </c>
      <c r="CZ34" s="360">
        <f t="shared" si="186"/>
        <v>0</v>
      </c>
      <c r="DA34" s="360">
        <f t="shared" si="187"/>
        <v>0</v>
      </c>
      <c r="DB34" s="360">
        <f t="shared" si="188"/>
        <v>0</v>
      </c>
      <c r="DC34" s="360">
        <f t="shared" si="189"/>
        <v>0</v>
      </c>
      <c r="DD34" s="360">
        <f t="shared" si="190"/>
        <v>61341.576410620488</v>
      </c>
      <c r="DE34" s="360">
        <f t="shared" si="191"/>
        <v>36030.731775170287</v>
      </c>
      <c r="DF34" s="360">
        <f t="shared" si="192"/>
        <v>244175.20707140194</v>
      </c>
      <c r="DG34" s="360">
        <f t="shared" si="193"/>
        <v>0</v>
      </c>
      <c r="DH34" s="360">
        <f t="shared" si="194"/>
        <v>0</v>
      </c>
      <c r="DI34" s="360">
        <f t="shared" si="195"/>
        <v>0</v>
      </c>
    </row>
    <row r="35" spans="1:113" ht="42" x14ac:dyDescent="0.3">
      <c r="A35" s="55" t="s">
        <v>1537</v>
      </c>
      <c r="B35" s="139" t="s">
        <v>1522</v>
      </c>
      <c r="C35" s="11" t="s">
        <v>1538</v>
      </c>
      <c r="D35" s="265" t="s">
        <v>297</v>
      </c>
      <c r="E35" s="11" t="s">
        <v>1458</v>
      </c>
      <c r="F35" s="134" t="s">
        <v>299</v>
      </c>
      <c r="G35" s="175">
        <f>'[1]Costs (Arup)'!F65*11000</f>
        <v>1455300.0000000002</v>
      </c>
      <c r="H35" s="114" t="s">
        <v>871</v>
      </c>
      <c r="I35" s="59">
        <v>0</v>
      </c>
      <c r="J35" s="59">
        <f>G35-I35</f>
        <v>1455300.0000000002</v>
      </c>
      <c r="K35" s="126">
        <f>J35</f>
        <v>1455300.0000000002</v>
      </c>
      <c r="L35" s="126" t="s">
        <v>1453</v>
      </c>
      <c r="M35" s="413">
        <f t="shared" si="51"/>
        <v>0</v>
      </c>
      <c r="N35" s="100" t="s">
        <v>1183</v>
      </c>
      <c r="O35" s="98"/>
      <c r="P35" s="98"/>
      <c r="Q35" s="98"/>
      <c r="R35" s="26"/>
      <c r="S35" s="26"/>
      <c r="T35" s="170"/>
      <c r="U35" s="242">
        <f>[1]Phasing!D$31</f>
        <v>0.17959895379250218</v>
      </c>
      <c r="V35" s="242">
        <f>[1]Phasing!E$31</f>
        <v>0.1054925893635571</v>
      </c>
      <c r="W35" s="242">
        <f>[1]Phasing!F$31</f>
        <v>0.71490845684394067</v>
      </c>
      <c r="X35" s="243">
        <f>[1]Phasing!G$31</f>
        <v>0</v>
      </c>
      <c r="Y35" s="243">
        <f>[1]Phasing!H$31</f>
        <v>0</v>
      </c>
      <c r="Z35" s="244">
        <f>[1]Phasing!I$31</f>
        <v>0</v>
      </c>
      <c r="AA35" s="131" t="s">
        <v>1353</v>
      </c>
      <c r="AB35" s="131" t="s">
        <v>1461</v>
      </c>
      <c r="AC35" s="11" t="s">
        <v>1520</v>
      </c>
      <c r="AD35" s="274" t="s">
        <v>241</v>
      </c>
      <c r="AE35" s="11"/>
      <c r="AF35" s="97" t="s">
        <v>242</v>
      </c>
      <c r="AG35" s="94" t="s">
        <v>252</v>
      </c>
      <c r="AH35" s="177"/>
      <c r="AI35" s="132"/>
      <c r="AJ35" s="8"/>
      <c r="AK35" s="8"/>
      <c r="AL35" s="8"/>
      <c r="AM35" s="8"/>
      <c r="AN35" s="8"/>
      <c r="AO35" s="87">
        <f>$K$35*'[1]Apportionment %'!J6</f>
        <v>824712.29293809959</v>
      </c>
      <c r="AP35" s="87">
        <f>$K$35*'[1]Apportionment %'!K6</f>
        <v>88815.170008718414</v>
      </c>
      <c r="AQ35" s="87">
        <f>$K$35*'[1]Apportionment %'!L6</f>
        <v>87546.381865736723</v>
      </c>
      <c r="AR35" s="87">
        <f>$K$35*'[1]Apportionment %'!M6</f>
        <v>53289.102005231041</v>
      </c>
      <c r="AS35" s="87">
        <f>$K$35*'[1]Apportionment %'!N6</f>
        <v>45676.373147340899</v>
      </c>
      <c r="AT35" s="87">
        <f>$K$35*'[1]Apportionment %'!O6</f>
        <v>44407.585004359207</v>
      </c>
      <c r="AU35" s="87">
        <f>$K$35*'[1]Apportionment %'!P6</f>
        <v>44407.585004359207</v>
      </c>
      <c r="AV35" s="87">
        <f>$K$35*'[1]Apportionment %'!Q6</f>
        <v>44407.585004359207</v>
      </c>
      <c r="AW35" s="87">
        <f>$K$35*'[1]Apportionment %'!R6</f>
        <v>29182.127288578908</v>
      </c>
      <c r="AX35" s="87">
        <f>$K$35*'[1]Apportionment %'!S6</f>
        <v>25375.762859633829</v>
      </c>
      <c r="AY35" s="87">
        <f>$K$35*'[1]Apportionment %'!T6</f>
        <v>20300.610287707066</v>
      </c>
      <c r="AZ35" s="87">
        <f>$K$35*'[1]Apportionment %'!U6</f>
        <v>20300.610287707066</v>
      </c>
      <c r="BA35" s="87">
        <f>$K$35*'[1]Apportionment %'!V6</f>
        <v>19031.822144725371</v>
      </c>
      <c r="BB35" s="87">
        <f>$K$35*'[1]Apportionment %'!W6</f>
        <v>16494.245858761991</v>
      </c>
      <c r="BC35" s="87">
        <f>$K$35*'[1]Apportionment %'!X6</f>
        <v>15225.4577157803</v>
      </c>
      <c r="BD35" s="87">
        <f>$K$35*'[1]Apportionment %'!Y6</f>
        <v>12687.881429816915</v>
      </c>
      <c r="BE35" s="87">
        <f>$K$35*'[1]Apportionment %'!Z6</f>
        <v>12687.881429816915</v>
      </c>
      <c r="BF35" s="87">
        <f>$K$35*'[1]Apportionment %'!AA6</f>
        <v>12687.881429816915</v>
      </c>
      <c r="BG35" s="87">
        <f>$K$35*'[1]Apportionment %'!AB6</f>
        <v>12687.881429816915</v>
      </c>
      <c r="BH35" s="87">
        <f>$K$35*'[1]Apportionment %'!AC6</f>
        <v>12687.881429816915</v>
      </c>
      <c r="BI35" s="87">
        <f>$K$35*'[1]Apportionment %'!AD6</f>
        <v>12687.881429816915</v>
      </c>
      <c r="BJ35" s="8"/>
      <c r="BK35" s="288" t="b">
        <f t="shared" si="1"/>
        <v>1</v>
      </c>
      <c r="BN35" s="360">
        <f t="shared" si="148"/>
        <v>0</v>
      </c>
      <c r="BO35" s="360">
        <f t="shared" si="149"/>
        <v>0</v>
      </c>
      <c r="BP35" s="360">
        <f t="shared" si="150"/>
        <v>0</v>
      </c>
      <c r="BQ35" s="360">
        <f t="shared" si="151"/>
        <v>0</v>
      </c>
      <c r="BR35" s="360">
        <f t="shared" si="152"/>
        <v>0</v>
      </c>
      <c r="BS35" s="360">
        <f t="shared" si="153"/>
        <v>0</v>
      </c>
      <c r="BT35" s="360">
        <f t="shared" si="154"/>
        <v>0</v>
      </c>
      <c r="BU35" s="360">
        <f t="shared" si="155"/>
        <v>0</v>
      </c>
      <c r="BV35" s="360">
        <f t="shared" si="156"/>
        <v>0</v>
      </c>
      <c r="BW35" s="360">
        <f t="shared" si="157"/>
        <v>0</v>
      </c>
      <c r="BX35" s="360">
        <f t="shared" si="158"/>
        <v>0</v>
      </c>
      <c r="BY35" s="360">
        <f t="shared" si="159"/>
        <v>0</v>
      </c>
      <c r="BZ35" s="360">
        <f t="shared" si="160"/>
        <v>0</v>
      </c>
      <c r="CA35" s="360">
        <f t="shared" si="161"/>
        <v>0</v>
      </c>
      <c r="CB35" s="360">
        <f t="shared" si="162"/>
        <v>0</v>
      </c>
      <c r="CC35" s="360">
        <f t="shared" si="163"/>
        <v>0</v>
      </c>
      <c r="CD35" s="360">
        <f t="shared" si="164"/>
        <v>0</v>
      </c>
      <c r="CE35" s="360">
        <f t="shared" si="165"/>
        <v>0</v>
      </c>
      <c r="CF35" s="360">
        <f t="shared" si="166"/>
        <v>0</v>
      </c>
      <c r="CG35" s="360">
        <f t="shared" si="167"/>
        <v>0</v>
      </c>
      <c r="CH35" s="360">
        <f t="shared" si="168"/>
        <v>0</v>
      </c>
      <c r="CI35" s="360">
        <f t="shared" si="169"/>
        <v>0</v>
      </c>
      <c r="CJ35" s="360">
        <f t="shared" si="170"/>
        <v>0</v>
      </c>
      <c r="CK35" s="360">
        <f t="shared" si="171"/>
        <v>0</v>
      </c>
      <c r="CL35" s="360">
        <f t="shared" si="172"/>
        <v>0</v>
      </c>
      <c r="CM35" s="360">
        <f t="shared" si="173"/>
        <v>0</v>
      </c>
      <c r="CN35" s="360">
        <f t="shared" si="174"/>
        <v>0</v>
      </c>
      <c r="CO35" s="360">
        <f t="shared" si="175"/>
        <v>0</v>
      </c>
      <c r="CP35" s="360">
        <f t="shared" si="176"/>
        <v>0</v>
      </c>
      <c r="CQ35" s="360">
        <f t="shared" si="177"/>
        <v>0</v>
      </c>
      <c r="CR35" s="360">
        <f t="shared" si="178"/>
        <v>0</v>
      </c>
      <c r="CS35" s="360">
        <f t="shared" si="179"/>
        <v>0</v>
      </c>
      <c r="CT35" s="360">
        <f t="shared" si="180"/>
        <v>0</v>
      </c>
      <c r="CU35" s="360">
        <f t="shared" si="181"/>
        <v>0</v>
      </c>
      <c r="CV35" s="360">
        <f t="shared" si="182"/>
        <v>0</v>
      </c>
      <c r="CW35" s="360">
        <f t="shared" si="183"/>
        <v>0</v>
      </c>
      <c r="CX35" s="360">
        <f t="shared" si="184"/>
        <v>0</v>
      </c>
      <c r="CY35" s="360">
        <f t="shared" si="185"/>
        <v>0</v>
      </c>
      <c r="CZ35" s="360">
        <f t="shared" si="186"/>
        <v>0</v>
      </c>
      <c r="DA35" s="360">
        <f t="shared" si="187"/>
        <v>0</v>
      </c>
      <c r="DB35" s="360">
        <f t="shared" si="188"/>
        <v>0</v>
      </c>
      <c r="DC35" s="360">
        <f t="shared" si="189"/>
        <v>0</v>
      </c>
      <c r="DD35" s="360">
        <f t="shared" si="190"/>
        <v>148117.46499149827</v>
      </c>
      <c r="DE35" s="360">
        <f t="shared" si="191"/>
        <v>87001.035261996556</v>
      </c>
      <c r="DF35" s="360">
        <f t="shared" si="192"/>
        <v>589593.79268460476</v>
      </c>
      <c r="DG35" s="360">
        <f t="shared" si="193"/>
        <v>0</v>
      </c>
      <c r="DH35" s="360">
        <f t="shared" si="194"/>
        <v>0</v>
      </c>
      <c r="DI35" s="360">
        <f t="shared" si="195"/>
        <v>0</v>
      </c>
    </row>
    <row r="36" spans="1:113" s="348" customFormat="1" ht="15.75" customHeight="1" x14ac:dyDescent="0.35">
      <c r="A36" s="411" t="s">
        <v>1539</v>
      </c>
      <c r="B36" s="138"/>
      <c r="C36" s="38"/>
      <c r="D36" s="38"/>
      <c r="E36" s="38"/>
      <c r="F36" s="167"/>
      <c r="G36" s="166"/>
      <c r="H36" s="41"/>
      <c r="I36" s="41"/>
      <c r="J36" s="41"/>
      <c r="K36" s="41"/>
      <c r="L36" s="41"/>
      <c r="M36" s="414"/>
      <c r="N36" s="169"/>
      <c r="O36" s="38"/>
      <c r="P36" s="38"/>
      <c r="Q36" s="38"/>
      <c r="R36" s="38"/>
      <c r="S36" s="38"/>
      <c r="T36" s="415"/>
      <c r="U36" s="229"/>
      <c r="V36" s="229"/>
      <c r="W36" s="229"/>
      <c r="X36" s="229"/>
      <c r="Y36" s="229"/>
      <c r="Z36" s="230"/>
      <c r="AA36" s="169"/>
      <c r="AB36" s="60"/>
      <c r="AC36" s="37"/>
      <c r="AD36" s="37"/>
      <c r="AE36" s="37"/>
      <c r="AF36" s="36"/>
      <c r="AG36" s="172"/>
      <c r="AH36" s="178"/>
      <c r="AI36" s="133"/>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288"/>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row>
    <row r="37" spans="1:113" ht="28" x14ac:dyDescent="0.3">
      <c r="A37" s="55" t="s">
        <v>1540</v>
      </c>
      <c r="B37" s="139" t="s">
        <v>1541</v>
      </c>
      <c r="C37" s="11" t="s">
        <v>1542</v>
      </c>
      <c r="D37" s="265" t="s">
        <v>297</v>
      </c>
      <c r="E37" s="11" t="s">
        <v>1452</v>
      </c>
      <c r="F37" s="134" t="s">
        <v>299</v>
      </c>
      <c r="G37" s="175">
        <f>'[1]Costs (Arup)'!C58*0.35</f>
        <v>8750</v>
      </c>
      <c r="H37" s="114" t="s">
        <v>871</v>
      </c>
      <c r="I37" s="59">
        <v>0</v>
      </c>
      <c r="J37" s="59">
        <f t="shared" si="0"/>
        <v>8750</v>
      </c>
      <c r="K37" s="126">
        <f t="shared" si="50"/>
        <v>8750</v>
      </c>
      <c r="L37" s="126" t="s">
        <v>1453</v>
      </c>
      <c r="M37" s="413">
        <f t="shared" si="51"/>
        <v>0</v>
      </c>
      <c r="N37" s="100" t="s">
        <v>265</v>
      </c>
      <c r="O37" s="26"/>
      <c r="P37" s="98"/>
      <c r="Q37" s="98"/>
      <c r="R37" s="26"/>
      <c r="S37" s="26"/>
      <c r="T37" s="170"/>
      <c r="U37" s="243">
        <f>[1]Phasing!D22</f>
        <v>0</v>
      </c>
      <c r="V37" s="242">
        <f>[1]Phasing!E22</f>
        <v>0.33333333333333331</v>
      </c>
      <c r="W37" s="242">
        <f>[1]Phasing!F22</f>
        <v>0.66666666666666663</v>
      </c>
      <c r="X37" s="243">
        <f>[1]Phasing!G22</f>
        <v>0</v>
      </c>
      <c r="Y37" s="243">
        <f>[1]Phasing!H22</f>
        <v>0</v>
      </c>
      <c r="Z37" s="244">
        <f>[1]Phasing!I22</f>
        <v>0</v>
      </c>
      <c r="AA37" s="131"/>
      <c r="AB37" s="131" t="s">
        <v>239</v>
      </c>
      <c r="AC37" s="11" t="s">
        <v>1473</v>
      </c>
      <c r="AD37" s="274" t="s">
        <v>241</v>
      </c>
      <c r="AE37" s="11"/>
      <c r="AF37" s="97" t="s">
        <v>242</v>
      </c>
      <c r="AG37" s="94" t="s">
        <v>252</v>
      </c>
      <c r="AH37" s="180">
        <f>K37</f>
        <v>8750</v>
      </c>
      <c r="AI37" s="132"/>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288" t="b">
        <f t="shared" si="1"/>
        <v>1</v>
      </c>
      <c r="BN37" s="360">
        <f t="shared" ref="BN37:BN43" si="196">$U37*AH37</f>
        <v>0</v>
      </c>
      <c r="BO37" s="360">
        <f t="shared" ref="BO37:BO43" si="197">$V37*AH37</f>
        <v>2916.6666666666665</v>
      </c>
      <c r="BP37" s="360">
        <f t="shared" ref="BP37:BP43" si="198">$W37*AH37</f>
        <v>5833.333333333333</v>
      </c>
      <c r="BQ37" s="360">
        <f t="shared" ref="BQ37:BQ43" si="199">$X37*AH37</f>
        <v>0</v>
      </c>
      <c r="BR37" s="360">
        <f t="shared" ref="BR37:BR43" si="200">$Y37*AH37</f>
        <v>0</v>
      </c>
      <c r="BS37" s="360">
        <f t="shared" ref="BS37:BS43" si="201">$Z37*AH37</f>
        <v>0</v>
      </c>
      <c r="BT37" s="360">
        <f t="shared" ref="BT37:BT43" si="202">$U37*AI37</f>
        <v>0</v>
      </c>
      <c r="BU37" s="360">
        <f t="shared" ref="BU37:BU43" si="203">$V37*AI37</f>
        <v>0</v>
      </c>
      <c r="BV37" s="360">
        <f t="shared" ref="BV37:BV43" si="204">$W37*AI37</f>
        <v>0</v>
      </c>
      <c r="BW37" s="360">
        <f t="shared" ref="BW37:BW43" si="205">$X37*AI37</f>
        <v>0</v>
      </c>
      <c r="BX37" s="360">
        <f t="shared" ref="BX37:BX43" si="206">$Y37*AI37</f>
        <v>0</v>
      </c>
      <c r="BY37" s="360">
        <f t="shared" ref="BY37:BY43" si="207">$Z37*AI37</f>
        <v>0</v>
      </c>
      <c r="BZ37" s="360">
        <f t="shared" ref="BZ37:BZ43" si="208">$U37*AJ37</f>
        <v>0</v>
      </c>
      <c r="CA37" s="360">
        <f t="shared" ref="CA37:CA43" si="209">$V37*AJ37</f>
        <v>0</v>
      </c>
      <c r="CB37" s="360">
        <f t="shared" ref="CB37:CB43" si="210">$W37*AJ37</f>
        <v>0</v>
      </c>
      <c r="CC37" s="360">
        <f t="shared" ref="CC37:CC43" si="211">$X37*AJ37</f>
        <v>0</v>
      </c>
      <c r="CD37" s="360">
        <f t="shared" ref="CD37:CD43" si="212">$Y37*AJ37</f>
        <v>0</v>
      </c>
      <c r="CE37" s="360">
        <f t="shared" ref="CE37:CE43" si="213">$Z37*AJ37</f>
        <v>0</v>
      </c>
      <c r="CF37" s="360">
        <f t="shared" ref="CF37:CF43" si="214">$U37*AK37</f>
        <v>0</v>
      </c>
      <c r="CG37" s="360">
        <f t="shared" ref="CG37:CG43" si="215">$V37*AK37</f>
        <v>0</v>
      </c>
      <c r="CH37" s="360">
        <f t="shared" ref="CH37:CH43" si="216">$W37*AK37</f>
        <v>0</v>
      </c>
      <c r="CI37" s="360">
        <f t="shared" ref="CI37:CI43" si="217">$X37*AK37</f>
        <v>0</v>
      </c>
      <c r="CJ37" s="360">
        <f t="shared" ref="CJ37:CJ43" si="218">$Y37*AK37</f>
        <v>0</v>
      </c>
      <c r="CK37" s="360">
        <f t="shared" ref="CK37:CK43" si="219">$Z37*AK37</f>
        <v>0</v>
      </c>
      <c r="CL37" s="360">
        <f t="shared" ref="CL37:CL43" si="220">$U37*AL37</f>
        <v>0</v>
      </c>
      <c r="CM37" s="360">
        <f t="shared" ref="CM37:CM43" si="221">$V37*AL37</f>
        <v>0</v>
      </c>
      <c r="CN37" s="360">
        <f t="shared" ref="CN37:CN43" si="222">$W37*AL37</f>
        <v>0</v>
      </c>
      <c r="CO37" s="360">
        <f t="shared" ref="CO37:CO43" si="223">$X37*AL37</f>
        <v>0</v>
      </c>
      <c r="CP37" s="360">
        <f t="shared" ref="CP37:CP43" si="224">$Y37*AL37</f>
        <v>0</v>
      </c>
      <c r="CQ37" s="360">
        <f t="shared" ref="CQ37:CQ43" si="225">$Z37*AL37</f>
        <v>0</v>
      </c>
      <c r="CR37" s="360">
        <f t="shared" ref="CR37:CR43" si="226">$U37*AM37</f>
        <v>0</v>
      </c>
      <c r="CS37" s="360">
        <f t="shared" ref="CS37:CS43" si="227">$V37*AM37</f>
        <v>0</v>
      </c>
      <c r="CT37" s="360">
        <f t="shared" ref="CT37:CT43" si="228">$W37*AM37</f>
        <v>0</v>
      </c>
      <c r="CU37" s="360">
        <f t="shared" ref="CU37:CU43" si="229">$X37*AM37</f>
        <v>0</v>
      </c>
      <c r="CV37" s="360">
        <f t="shared" ref="CV37:CV43" si="230">$Y37*AM37</f>
        <v>0</v>
      </c>
      <c r="CW37" s="360">
        <f t="shared" ref="CW37:CW43" si="231">$Z37*AM37</f>
        <v>0</v>
      </c>
      <c r="CX37" s="360">
        <f t="shared" ref="CX37:CX43" si="232">$U37*AN37</f>
        <v>0</v>
      </c>
      <c r="CY37" s="360">
        <f t="shared" ref="CY37:CY43" si="233">$V37*AN37</f>
        <v>0</v>
      </c>
      <c r="CZ37" s="360">
        <f t="shared" ref="CZ37:CZ43" si="234">$W37*AN37</f>
        <v>0</v>
      </c>
      <c r="DA37" s="360">
        <f t="shared" ref="DA37:DA43" si="235">$X37*AN37</f>
        <v>0</v>
      </c>
      <c r="DB37" s="360">
        <f t="shared" ref="DB37:DB43" si="236">$Y37*AN37</f>
        <v>0</v>
      </c>
      <c r="DC37" s="360">
        <f t="shared" ref="DC37:DC43" si="237">$Z37*AN37</f>
        <v>0</v>
      </c>
      <c r="DD37" s="360">
        <f t="shared" ref="DD37:DD43" si="238">$U37*AO37</f>
        <v>0</v>
      </c>
      <c r="DE37" s="360">
        <f t="shared" ref="DE37:DE43" si="239">$V37*AO37</f>
        <v>0</v>
      </c>
      <c r="DF37" s="360">
        <f t="shared" ref="DF37:DF43" si="240">$W37*AO37</f>
        <v>0</v>
      </c>
      <c r="DG37" s="360">
        <f t="shared" ref="DG37:DG43" si="241">$X37*AO37</f>
        <v>0</v>
      </c>
      <c r="DH37" s="360">
        <f t="shared" ref="DH37:DH43" si="242">$Y37*AO37</f>
        <v>0</v>
      </c>
      <c r="DI37" s="360">
        <f t="shared" ref="DI37:DI43" si="243">$Z37*AO37</f>
        <v>0</v>
      </c>
    </row>
    <row r="38" spans="1:113" ht="42" x14ac:dyDescent="0.3">
      <c r="A38" s="55" t="s">
        <v>1543</v>
      </c>
      <c r="B38" s="139" t="s">
        <v>1544</v>
      </c>
      <c r="C38" s="11" t="s">
        <v>1545</v>
      </c>
      <c r="D38" s="265" t="s">
        <v>297</v>
      </c>
      <c r="E38" s="11" t="s">
        <v>1458</v>
      </c>
      <c r="F38" s="134" t="s">
        <v>299</v>
      </c>
      <c r="G38" s="175">
        <f>'[1]Costs (Arup)'!C58*1.56</f>
        <v>39000</v>
      </c>
      <c r="H38" s="114" t="s">
        <v>871</v>
      </c>
      <c r="I38" s="59">
        <v>0</v>
      </c>
      <c r="J38" s="59">
        <f>G38-I38</f>
        <v>39000</v>
      </c>
      <c r="K38" s="126">
        <f>J38</f>
        <v>39000</v>
      </c>
      <c r="L38" s="126" t="s">
        <v>1453</v>
      </c>
      <c r="M38" s="413">
        <f t="shared" si="51"/>
        <v>0</v>
      </c>
      <c r="N38" s="100" t="s">
        <v>1459</v>
      </c>
      <c r="O38" s="98"/>
      <c r="P38" s="98"/>
      <c r="Q38" s="98"/>
      <c r="R38" s="26"/>
      <c r="S38" s="26"/>
      <c r="T38" s="170"/>
      <c r="U38" s="242">
        <f>[1]Phasing!D23</f>
        <v>0.28846153846153844</v>
      </c>
      <c r="V38" s="242">
        <f>[1]Phasing!E23</f>
        <v>0.44230769230769229</v>
      </c>
      <c r="W38" s="242">
        <f>[1]Phasing!F23</f>
        <v>0.26923076923076922</v>
      </c>
      <c r="X38" s="243">
        <f>[1]Phasing!G23</f>
        <v>0</v>
      </c>
      <c r="Y38" s="243">
        <f>[1]Phasing!H23</f>
        <v>0</v>
      </c>
      <c r="Z38" s="244">
        <f>[1]Phasing!I23</f>
        <v>0</v>
      </c>
      <c r="AA38" s="131" t="s">
        <v>1353</v>
      </c>
      <c r="AB38" s="131" t="s">
        <v>1461</v>
      </c>
      <c r="AC38" s="11" t="s">
        <v>1462</v>
      </c>
      <c r="AD38" s="274" t="s">
        <v>241</v>
      </c>
      <c r="AE38" s="11"/>
      <c r="AF38" s="97" t="s">
        <v>242</v>
      </c>
      <c r="AG38" s="94" t="s">
        <v>252</v>
      </c>
      <c r="AH38" s="177"/>
      <c r="AI38" s="163">
        <f>K38</f>
        <v>39000</v>
      </c>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288" t="b">
        <f t="shared" si="1"/>
        <v>1</v>
      </c>
      <c r="BN38" s="360">
        <f t="shared" si="196"/>
        <v>0</v>
      </c>
      <c r="BO38" s="360">
        <f t="shared" si="197"/>
        <v>0</v>
      </c>
      <c r="BP38" s="360">
        <f t="shared" si="198"/>
        <v>0</v>
      </c>
      <c r="BQ38" s="360">
        <f t="shared" si="199"/>
        <v>0</v>
      </c>
      <c r="BR38" s="360">
        <f t="shared" si="200"/>
        <v>0</v>
      </c>
      <c r="BS38" s="360">
        <f t="shared" si="201"/>
        <v>0</v>
      </c>
      <c r="BT38" s="360">
        <f t="shared" si="202"/>
        <v>11249.999999999998</v>
      </c>
      <c r="BU38" s="360">
        <f t="shared" si="203"/>
        <v>17250</v>
      </c>
      <c r="BV38" s="360">
        <f t="shared" si="204"/>
        <v>10500</v>
      </c>
      <c r="BW38" s="360">
        <f t="shared" si="205"/>
        <v>0</v>
      </c>
      <c r="BX38" s="360">
        <f t="shared" si="206"/>
        <v>0</v>
      </c>
      <c r="BY38" s="360">
        <f t="shared" si="207"/>
        <v>0</v>
      </c>
      <c r="BZ38" s="360">
        <f t="shared" si="208"/>
        <v>0</v>
      </c>
      <c r="CA38" s="360">
        <f t="shared" si="209"/>
        <v>0</v>
      </c>
      <c r="CB38" s="360">
        <f t="shared" si="210"/>
        <v>0</v>
      </c>
      <c r="CC38" s="360">
        <f t="shared" si="211"/>
        <v>0</v>
      </c>
      <c r="CD38" s="360">
        <f t="shared" si="212"/>
        <v>0</v>
      </c>
      <c r="CE38" s="360">
        <f t="shared" si="213"/>
        <v>0</v>
      </c>
      <c r="CF38" s="360">
        <f t="shared" si="214"/>
        <v>0</v>
      </c>
      <c r="CG38" s="360">
        <f t="shared" si="215"/>
        <v>0</v>
      </c>
      <c r="CH38" s="360">
        <f t="shared" si="216"/>
        <v>0</v>
      </c>
      <c r="CI38" s="360">
        <f t="shared" si="217"/>
        <v>0</v>
      </c>
      <c r="CJ38" s="360">
        <f t="shared" si="218"/>
        <v>0</v>
      </c>
      <c r="CK38" s="360">
        <f t="shared" si="219"/>
        <v>0</v>
      </c>
      <c r="CL38" s="360">
        <f t="shared" si="220"/>
        <v>0</v>
      </c>
      <c r="CM38" s="360">
        <f t="shared" si="221"/>
        <v>0</v>
      </c>
      <c r="CN38" s="360">
        <f t="shared" si="222"/>
        <v>0</v>
      </c>
      <c r="CO38" s="360">
        <f t="shared" si="223"/>
        <v>0</v>
      </c>
      <c r="CP38" s="360">
        <f t="shared" si="224"/>
        <v>0</v>
      </c>
      <c r="CQ38" s="360">
        <f t="shared" si="225"/>
        <v>0</v>
      </c>
      <c r="CR38" s="360">
        <f t="shared" si="226"/>
        <v>0</v>
      </c>
      <c r="CS38" s="360">
        <f t="shared" si="227"/>
        <v>0</v>
      </c>
      <c r="CT38" s="360">
        <f t="shared" si="228"/>
        <v>0</v>
      </c>
      <c r="CU38" s="360">
        <f t="shared" si="229"/>
        <v>0</v>
      </c>
      <c r="CV38" s="360">
        <f t="shared" si="230"/>
        <v>0</v>
      </c>
      <c r="CW38" s="360">
        <f t="shared" si="231"/>
        <v>0</v>
      </c>
      <c r="CX38" s="360">
        <f t="shared" si="232"/>
        <v>0</v>
      </c>
      <c r="CY38" s="360">
        <f t="shared" si="233"/>
        <v>0</v>
      </c>
      <c r="CZ38" s="360">
        <f t="shared" si="234"/>
        <v>0</v>
      </c>
      <c r="DA38" s="360">
        <f t="shared" si="235"/>
        <v>0</v>
      </c>
      <c r="DB38" s="360">
        <f t="shared" si="236"/>
        <v>0</v>
      </c>
      <c r="DC38" s="360">
        <f t="shared" si="237"/>
        <v>0</v>
      </c>
      <c r="DD38" s="360">
        <f t="shared" si="238"/>
        <v>0</v>
      </c>
      <c r="DE38" s="360">
        <f t="shared" si="239"/>
        <v>0</v>
      </c>
      <c r="DF38" s="360">
        <f t="shared" si="240"/>
        <v>0</v>
      </c>
      <c r="DG38" s="360">
        <f t="shared" si="241"/>
        <v>0</v>
      </c>
      <c r="DH38" s="360">
        <f t="shared" si="242"/>
        <v>0</v>
      </c>
      <c r="DI38" s="360">
        <f t="shared" si="243"/>
        <v>0</v>
      </c>
    </row>
    <row r="39" spans="1:113" ht="28" x14ac:dyDescent="0.3">
      <c r="A39" s="55" t="s">
        <v>1546</v>
      </c>
      <c r="B39" s="139" t="s">
        <v>1547</v>
      </c>
      <c r="C39" s="11" t="s">
        <v>1548</v>
      </c>
      <c r="D39" s="265" t="s">
        <v>297</v>
      </c>
      <c r="E39" s="11" t="s">
        <v>1452</v>
      </c>
      <c r="F39" s="134" t="s">
        <v>299</v>
      </c>
      <c r="G39" s="175">
        <f>'[1]Costs (Arup)'!C58*0.49</f>
        <v>12250</v>
      </c>
      <c r="H39" s="114" t="s">
        <v>871</v>
      </c>
      <c r="I39" s="59">
        <v>0</v>
      </c>
      <c r="J39" s="59">
        <f>G39-I39</f>
        <v>12250</v>
      </c>
      <c r="K39" s="126">
        <f>J39</f>
        <v>12250</v>
      </c>
      <c r="L39" s="126" t="s">
        <v>1453</v>
      </c>
      <c r="M39" s="413">
        <f t="shared" si="51"/>
        <v>0</v>
      </c>
      <c r="N39" s="100" t="s">
        <v>402</v>
      </c>
      <c r="O39" s="98"/>
      <c r="P39" s="98"/>
      <c r="Q39" s="98"/>
      <c r="R39" s="26"/>
      <c r="S39" s="26"/>
      <c r="T39" s="170"/>
      <c r="U39" s="242">
        <f>[1]Phasing!D24</f>
        <v>4.7619047619047616E-2</v>
      </c>
      <c r="V39" s="242">
        <f>[1]Phasing!E24</f>
        <v>0.47619047619047616</v>
      </c>
      <c r="W39" s="242">
        <f>[1]Phasing!F24</f>
        <v>0.47619047619047616</v>
      </c>
      <c r="X39" s="243">
        <f>[1]Phasing!G24</f>
        <v>0</v>
      </c>
      <c r="Y39" s="243">
        <f>[1]Phasing!H24</f>
        <v>0</v>
      </c>
      <c r="Z39" s="244">
        <f>[1]Phasing!I24</f>
        <v>0</v>
      </c>
      <c r="AA39" s="131"/>
      <c r="AB39" s="131" t="s">
        <v>239</v>
      </c>
      <c r="AC39" s="11" t="s">
        <v>1473</v>
      </c>
      <c r="AD39" s="274" t="s">
        <v>241</v>
      </c>
      <c r="AE39" s="11"/>
      <c r="AF39" s="97" t="s">
        <v>242</v>
      </c>
      <c r="AG39" s="94" t="s">
        <v>252</v>
      </c>
      <c r="AH39" s="177"/>
      <c r="AI39" s="132"/>
      <c r="AJ39" s="87">
        <f>K39</f>
        <v>12250</v>
      </c>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288" t="b">
        <f t="shared" si="1"/>
        <v>1</v>
      </c>
      <c r="BN39" s="360">
        <f t="shared" si="196"/>
        <v>0</v>
      </c>
      <c r="BO39" s="360">
        <f t="shared" si="197"/>
        <v>0</v>
      </c>
      <c r="BP39" s="360">
        <f t="shared" si="198"/>
        <v>0</v>
      </c>
      <c r="BQ39" s="360">
        <f t="shared" si="199"/>
        <v>0</v>
      </c>
      <c r="BR39" s="360">
        <f t="shared" si="200"/>
        <v>0</v>
      </c>
      <c r="BS39" s="360">
        <f t="shared" si="201"/>
        <v>0</v>
      </c>
      <c r="BT39" s="360">
        <f t="shared" si="202"/>
        <v>0</v>
      </c>
      <c r="BU39" s="360">
        <f t="shared" si="203"/>
        <v>0</v>
      </c>
      <c r="BV39" s="360">
        <f t="shared" si="204"/>
        <v>0</v>
      </c>
      <c r="BW39" s="360">
        <f t="shared" si="205"/>
        <v>0</v>
      </c>
      <c r="BX39" s="360">
        <f t="shared" si="206"/>
        <v>0</v>
      </c>
      <c r="BY39" s="360">
        <f t="shared" si="207"/>
        <v>0</v>
      </c>
      <c r="BZ39" s="360">
        <f t="shared" si="208"/>
        <v>583.33333333333326</v>
      </c>
      <c r="CA39" s="360">
        <f t="shared" si="209"/>
        <v>5833.333333333333</v>
      </c>
      <c r="CB39" s="360">
        <f t="shared" si="210"/>
        <v>5833.333333333333</v>
      </c>
      <c r="CC39" s="360">
        <f t="shared" si="211"/>
        <v>0</v>
      </c>
      <c r="CD39" s="360">
        <f t="shared" si="212"/>
        <v>0</v>
      </c>
      <c r="CE39" s="360">
        <f t="shared" si="213"/>
        <v>0</v>
      </c>
      <c r="CF39" s="360">
        <f t="shared" si="214"/>
        <v>0</v>
      </c>
      <c r="CG39" s="360">
        <f t="shared" si="215"/>
        <v>0</v>
      </c>
      <c r="CH39" s="360">
        <f t="shared" si="216"/>
        <v>0</v>
      </c>
      <c r="CI39" s="360">
        <f t="shared" si="217"/>
        <v>0</v>
      </c>
      <c r="CJ39" s="360">
        <f t="shared" si="218"/>
        <v>0</v>
      </c>
      <c r="CK39" s="360">
        <f t="shared" si="219"/>
        <v>0</v>
      </c>
      <c r="CL39" s="360">
        <f t="shared" si="220"/>
        <v>0</v>
      </c>
      <c r="CM39" s="360">
        <f t="shared" si="221"/>
        <v>0</v>
      </c>
      <c r="CN39" s="360">
        <f t="shared" si="222"/>
        <v>0</v>
      </c>
      <c r="CO39" s="360">
        <f t="shared" si="223"/>
        <v>0</v>
      </c>
      <c r="CP39" s="360">
        <f t="shared" si="224"/>
        <v>0</v>
      </c>
      <c r="CQ39" s="360">
        <f t="shared" si="225"/>
        <v>0</v>
      </c>
      <c r="CR39" s="360">
        <f t="shared" si="226"/>
        <v>0</v>
      </c>
      <c r="CS39" s="360">
        <f t="shared" si="227"/>
        <v>0</v>
      </c>
      <c r="CT39" s="360">
        <f t="shared" si="228"/>
        <v>0</v>
      </c>
      <c r="CU39" s="360">
        <f t="shared" si="229"/>
        <v>0</v>
      </c>
      <c r="CV39" s="360">
        <f t="shared" si="230"/>
        <v>0</v>
      </c>
      <c r="CW39" s="360">
        <f t="shared" si="231"/>
        <v>0</v>
      </c>
      <c r="CX39" s="360">
        <f t="shared" si="232"/>
        <v>0</v>
      </c>
      <c r="CY39" s="360">
        <f t="shared" si="233"/>
        <v>0</v>
      </c>
      <c r="CZ39" s="360">
        <f t="shared" si="234"/>
        <v>0</v>
      </c>
      <c r="DA39" s="360">
        <f t="shared" si="235"/>
        <v>0</v>
      </c>
      <c r="DB39" s="360">
        <f t="shared" si="236"/>
        <v>0</v>
      </c>
      <c r="DC39" s="360">
        <f t="shared" si="237"/>
        <v>0</v>
      </c>
      <c r="DD39" s="360">
        <f t="shared" si="238"/>
        <v>0</v>
      </c>
      <c r="DE39" s="360">
        <f t="shared" si="239"/>
        <v>0</v>
      </c>
      <c r="DF39" s="360">
        <f t="shared" si="240"/>
        <v>0</v>
      </c>
      <c r="DG39" s="360">
        <f t="shared" si="241"/>
        <v>0</v>
      </c>
      <c r="DH39" s="360">
        <f t="shared" si="242"/>
        <v>0</v>
      </c>
      <c r="DI39" s="360">
        <f t="shared" si="243"/>
        <v>0</v>
      </c>
    </row>
    <row r="40" spans="1:113" ht="28" x14ac:dyDescent="0.3">
      <c r="A40" s="55" t="s">
        <v>1549</v>
      </c>
      <c r="B40" s="139" t="s">
        <v>1550</v>
      </c>
      <c r="C40" s="11" t="s">
        <v>1551</v>
      </c>
      <c r="D40" s="265" t="s">
        <v>297</v>
      </c>
      <c r="E40" s="11" t="s">
        <v>1452</v>
      </c>
      <c r="F40" s="134" t="s">
        <v>299</v>
      </c>
      <c r="G40" s="175">
        <f>'[1]Costs (Arup)'!C58*0.97</f>
        <v>24250</v>
      </c>
      <c r="H40" s="114" t="s">
        <v>871</v>
      </c>
      <c r="I40" s="59">
        <v>0</v>
      </c>
      <c r="J40" s="59">
        <f t="shared" si="0"/>
        <v>24250</v>
      </c>
      <c r="K40" s="126">
        <f t="shared" si="50"/>
        <v>24250</v>
      </c>
      <c r="L40" s="126" t="s">
        <v>1453</v>
      </c>
      <c r="M40" s="413">
        <f t="shared" si="51"/>
        <v>0</v>
      </c>
      <c r="N40" s="100" t="s">
        <v>402</v>
      </c>
      <c r="O40" s="98"/>
      <c r="P40" s="98"/>
      <c r="Q40" s="98"/>
      <c r="R40" s="9"/>
      <c r="S40" s="9"/>
      <c r="T40" s="103"/>
      <c r="U40" s="242">
        <f>[1]Phasing!D$27</f>
        <v>4.7619047619047616E-2</v>
      </c>
      <c r="V40" s="242">
        <f>[1]Phasing!E$27</f>
        <v>0.47619047619047616</v>
      </c>
      <c r="W40" s="242">
        <f>[1]Phasing!F$27</f>
        <v>0.47619047619047616</v>
      </c>
      <c r="X40" s="245">
        <f>[1]Phasing!G$27</f>
        <v>0</v>
      </c>
      <c r="Y40" s="245">
        <f>[1]Phasing!H$27</f>
        <v>0</v>
      </c>
      <c r="Z40" s="246">
        <f>[1]Phasing!I$27</f>
        <v>0</v>
      </c>
      <c r="AA40" s="131"/>
      <c r="AB40" s="131" t="s">
        <v>239</v>
      </c>
      <c r="AC40" s="11" t="s">
        <v>1473</v>
      </c>
      <c r="AD40" s="274" t="s">
        <v>241</v>
      </c>
      <c r="AE40" s="11"/>
      <c r="AF40" s="97" t="s">
        <v>242</v>
      </c>
      <c r="AG40" s="94" t="s">
        <v>252</v>
      </c>
      <c r="AH40" s="177"/>
      <c r="AI40" s="132"/>
      <c r="AJ40" s="8"/>
      <c r="AK40" s="87">
        <f>$K$40*'[1]Apportionment %'!F5</f>
        <v>9153.297474275023</v>
      </c>
      <c r="AL40" s="87">
        <f>$K$40*'[1]Apportionment %'!G5</f>
        <v>15096.702525724977</v>
      </c>
      <c r="AM40" s="8"/>
      <c r="AN40" s="8"/>
      <c r="AO40" s="8"/>
      <c r="AP40" s="8"/>
      <c r="AQ40" s="8"/>
      <c r="AR40" s="8"/>
      <c r="AS40" s="8"/>
      <c r="AT40" s="8"/>
      <c r="AU40" s="8"/>
      <c r="AV40" s="8"/>
      <c r="AW40" s="8"/>
      <c r="AX40" s="8"/>
      <c r="AY40" s="8"/>
      <c r="AZ40" s="8"/>
      <c r="BA40" s="8"/>
      <c r="BB40" s="8"/>
      <c r="BC40" s="8"/>
      <c r="BD40" s="8"/>
      <c r="BE40" s="8"/>
      <c r="BF40" s="8"/>
      <c r="BG40" s="8"/>
      <c r="BH40" s="8"/>
      <c r="BI40" s="8"/>
      <c r="BJ40" s="8"/>
      <c r="BK40" s="288" t="b">
        <f t="shared" si="1"/>
        <v>1</v>
      </c>
      <c r="BN40" s="360">
        <f t="shared" si="196"/>
        <v>0</v>
      </c>
      <c r="BO40" s="360">
        <f t="shared" si="197"/>
        <v>0</v>
      </c>
      <c r="BP40" s="360">
        <f t="shared" si="198"/>
        <v>0</v>
      </c>
      <c r="BQ40" s="360">
        <f t="shared" si="199"/>
        <v>0</v>
      </c>
      <c r="BR40" s="360">
        <f t="shared" si="200"/>
        <v>0</v>
      </c>
      <c r="BS40" s="360">
        <f t="shared" si="201"/>
        <v>0</v>
      </c>
      <c r="BT40" s="360">
        <f t="shared" si="202"/>
        <v>0</v>
      </c>
      <c r="BU40" s="360">
        <f t="shared" si="203"/>
        <v>0</v>
      </c>
      <c r="BV40" s="360">
        <f t="shared" si="204"/>
        <v>0</v>
      </c>
      <c r="BW40" s="360">
        <f t="shared" si="205"/>
        <v>0</v>
      </c>
      <c r="BX40" s="360">
        <f t="shared" si="206"/>
        <v>0</v>
      </c>
      <c r="BY40" s="360">
        <f t="shared" si="207"/>
        <v>0</v>
      </c>
      <c r="BZ40" s="360">
        <f t="shared" si="208"/>
        <v>0</v>
      </c>
      <c r="CA40" s="360">
        <f t="shared" si="209"/>
        <v>0</v>
      </c>
      <c r="CB40" s="360">
        <f t="shared" si="210"/>
        <v>0</v>
      </c>
      <c r="CC40" s="360">
        <f t="shared" si="211"/>
        <v>0</v>
      </c>
      <c r="CD40" s="360">
        <f t="shared" si="212"/>
        <v>0</v>
      </c>
      <c r="CE40" s="360">
        <f t="shared" si="213"/>
        <v>0</v>
      </c>
      <c r="CF40" s="360">
        <f t="shared" si="214"/>
        <v>435.87130829881062</v>
      </c>
      <c r="CG40" s="360">
        <f t="shared" si="215"/>
        <v>4358.7130829881062</v>
      </c>
      <c r="CH40" s="360">
        <f t="shared" si="216"/>
        <v>4358.7130829881062</v>
      </c>
      <c r="CI40" s="360">
        <f t="shared" si="217"/>
        <v>0</v>
      </c>
      <c r="CJ40" s="360">
        <f t="shared" si="218"/>
        <v>0</v>
      </c>
      <c r="CK40" s="360">
        <f t="shared" si="219"/>
        <v>0</v>
      </c>
      <c r="CL40" s="360">
        <f t="shared" si="220"/>
        <v>718.89059646309408</v>
      </c>
      <c r="CM40" s="360">
        <f t="shared" si="221"/>
        <v>7188.9059646309406</v>
      </c>
      <c r="CN40" s="360">
        <f t="shared" si="222"/>
        <v>7188.9059646309406</v>
      </c>
      <c r="CO40" s="360">
        <f t="shared" si="223"/>
        <v>0</v>
      </c>
      <c r="CP40" s="360">
        <f t="shared" si="224"/>
        <v>0</v>
      </c>
      <c r="CQ40" s="360">
        <f t="shared" si="225"/>
        <v>0</v>
      </c>
      <c r="CR40" s="360">
        <f t="shared" si="226"/>
        <v>0</v>
      </c>
      <c r="CS40" s="360">
        <f t="shared" si="227"/>
        <v>0</v>
      </c>
      <c r="CT40" s="360">
        <f t="shared" si="228"/>
        <v>0</v>
      </c>
      <c r="CU40" s="360">
        <f t="shared" si="229"/>
        <v>0</v>
      </c>
      <c r="CV40" s="360">
        <f t="shared" si="230"/>
        <v>0</v>
      </c>
      <c r="CW40" s="360">
        <f t="shared" si="231"/>
        <v>0</v>
      </c>
      <c r="CX40" s="360">
        <f t="shared" si="232"/>
        <v>0</v>
      </c>
      <c r="CY40" s="360">
        <f t="shared" si="233"/>
        <v>0</v>
      </c>
      <c r="CZ40" s="360">
        <f t="shared" si="234"/>
        <v>0</v>
      </c>
      <c r="DA40" s="360">
        <f t="shared" si="235"/>
        <v>0</v>
      </c>
      <c r="DB40" s="360">
        <f t="shared" si="236"/>
        <v>0</v>
      </c>
      <c r="DC40" s="360">
        <f t="shared" si="237"/>
        <v>0</v>
      </c>
      <c r="DD40" s="360">
        <f t="shared" si="238"/>
        <v>0</v>
      </c>
      <c r="DE40" s="360">
        <f t="shared" si="239"/>
        <v>0</v>
      </c>
      <c r="DF40" s="360">
        <f t="shared" si="240"/>
        <v>0</v>
      </c>
      <c r="DG40" s="360">
        <f t="shared" si="241"/>
        <v>0</v>
      </c>
      <c r="DH40" s="360">
        <f t="shared" si="242"/>
        <v>0</v>
      </c>
      <c r="DI40" s="360">
        <f t="shared" si="243"/>
        <v>0</v>
      </c>
    </row>
    <row r="41" spans="1:113" ht="40.4" customHeight="1" x14ac:dyDescent="0.3">
      <c r="A41" s="55" t="s">
        <v>1552</v>
      </c>
      <c r="B41" s="139"/>
      <c r="C41" s="50" t="s">
        <v>1553</v>
      </c>
      <c r="D41" s="265" t="s">
        <v>297</v>
      </c>
      <c r="E41" s="11" t="s">
        <v>1471</v>
      </c>
      <c r="F41" s="134" t="s">
        <v>299</v>
      </c>
      <c r="G41" s="175">
        <f>'[1]Costs (Arup)'!C58*5.71</f>
        <v>142750</v>
      </c>
      <c r="H41" s="114" t="s">
        <v>871</v>
      </c>
      <c r="I41" s="59">
        <v>0</v>
      </c>
      <c r="J41" s="59">
        <f t="shared" si="0"/>
        <v>142750</v>
      </c>
      <c r="K41" s="126">
        <f t="shared" si="50"/>
        <v>142750</v>
      </c>
      <c r="L41" s="126" t="s">
        <v>1453</v>
      </c>
      <c r="M41" s="413">
        <f t="shared" si="51"/>
        <v>0</v>
      </c>
      <c r="N41" s="100" t="s">
        <v>890</v>
      </c>
      <c r="O41" s="98"/>
      <c r="P41" s="98"/>
      <c r="Q41" s="98"/>
      <c r="R41" s="98"/>
      <c r="S41" s="98"/>
      <c r="T41" s="160"/>
      <c r="U41" s="242">
        <f>[1]Phasing!D$29</f>
        <v>2.5529411764705884E-2</v>
      </c>
      <c r="V41" s="242">
        <f>[1]Phasing!E$29</f>
        <v>9.8000000000000004E-2</v>
      </c>
      <c r="W41" s="242">
        <f>[1]Phasing!F$29</f>
        <v>0.11764705882352941</v>
      </c>
      <c r="X41" s="242">
        <f>[1]Phasing!G$29</f>
        <v>0.11764705882352941</v>
      </c>
      <c r="Y41" s="242">
        <f>[1]Phasing!H$29</f>
        <v>0.17647058823529413</v>
      </c>
      <c r="Z41" s="247">
        <f>[1]Phasing!I$29</f>
        <v>0.46470588235294119</v>
      </c>
      <c r="AA41" s="131"/>
      <c r="AB41" s="32"/>
      <c r="AC41" s="11" t="s">
        <v>1473</v>
      </c>
      <c r="AD41" s="274" t="s">
        <v>241</v>
      </c>
      <c r="AE41" s="11"/>
      <c r="AF41" s="97" t="s">
        <v>242</v>
      </c>
      <c r="AG41" s="94" t="s">
        <v>252</v>
      </c>
      <c r="AH41" s="177"/>
      <c r="AI41" s="132"/>
      <c r="AJ41" s="8"/>
      <c r="AK41" s="8"/>
      <c r="AL41" s="8"/>
      <c r="AM41" s="87">
        <f>K41</f>
        <v>142750</v>
      </c>
      <c r="AN41" s="8"/>
      <c r="AO41" s="8"/>
      <c r="AP41" s="8"/>
      <c r="AQ41" s="8"/>
      <c r="AR41" s="8"/>
      <c r="AS41" s="8"/>
      <c r="AT41" s="8"/>
      <c r="AU41" s="8"/>
      <c r="AV41" s="8"/>
      <c r="AW41" s="8"/>
      <c r="AX41" s="8"/>
      <c r="AY41" s="8"/>
      <c r="AZ41" s="8"/>
      <c r="BA41" s="8"/>
      <c r="BB41" s="8"/>
      <c r="BC41" s="8"/>
      <c r="BD41" s="8"/>
      <c r="BE41" s="8"/>
      <c r="BF41" s="8"/>
      <c r="BG41" s="8"/>
      <c r="BH41" s="8"/>
      <c r="BI41" s="8"/>
      <c r="BJ41" s="8"/>
      <c r="BK41" s="288" t="b">
        <f t="shared" si="1"/>
        <v>1</v>
      </c>
      <c r="BN41" s="360">
        <f t="shared" si="196"/>
        <v>0</v>
      </c>
      <c r="BO41" s="360">
        <f t="shared" si="197"/>
        <v>0</v>
      </c>
      <c r="BP41" s="360">
        <f t="shared" si="198"/>
        <v>0</v>
      </c>
      <c r="BQ41" s="360">
        <f t="shared" si="199"/>
        <v>0</v>
      </c>
      <c r="BR41" s="360">
        <f t="shared" si="200"/>
        <v>0</v>
      </c>
      <c r="BS41" s="360">
        <f t="shared" si="201"/>
        <v>0</v>
      </c>
      <c r="BT41" s="360">
        <f t="shared" si="202"/>
        <v>0</v>
      </c>
      <c r="BU41" s="360">
        <f t="shared" si="203"/>
        <v>0</v>
      </c>
      <c r="BV41" s="360">
        <f t="shared" si="204"/>
        <v>0</v>
      </c>
      <c r="BW41" s="360">
        <f t="shared" si="205"/>
        <v>0</v>
      </c>
      <c r="BX41" s="360">
        <f t="shared" si="206"/>
        <v>0</v>
      </c>
      <c r="BY41" s="360">
        <f t="shared" si="207"/>
        <v>0</v>
      </c>
      <c r="BZ41" s="360">
        <f t="shared" si="208"/>
        <v>0</v>
      </c>
      <c r="CA41" s="360">
        <f t="shared" si="209"/>
        <v>0</v>
      </c>
      <c r="CB41" s="360">
        <f t="shared" si="210"/>
        <v>0</v>
      </c>
      <c r="CC41" s="360">
        <f t="shared" si="211"/>
        <v>0</v>
      </c>
      <c r="CD41" s="360">
        <f t="shared" si="212"/>
        <v>0</v>
      </c>
      <c r="CE41" s="360">
        <f t="shared" si="213"/>
        <v>0</v>
      </c>
      <c r="CF41" s="360">
        <f t="shared" si="214"/>
        <v>0</v>
      </c>
      <c r="CG41" s="360">
        <f t="shared" si="215"/>
        <v>0</v>
      </c>
      <c r="CH41" s="360">
        <f t="shared" si="216"/>
        <v>0</v>
      </c>
      <c r="CI41" s="360">
        <f t="shared" si="217"/>
        <v>0</v>
      </c>
      <c r="CJ41" s="360">
        <f t="shared" si="218"/>
        <v>0</v>
      </c>
      <c r="CK41" s="360">
        <f t="shared" si="219"/>
        <v>0</v>
      </c>
      <c r="CL41" s="360">
        <f t="shared" si="220"/>
        <v>0</v>
      </c>
      <c r="CM41" s="360">
        <f t="shared" si="221"/>
        <v>0</v>
      </c>
      <c r="CN41" s="360">
        <f t="shared" si="222"/>
        <v>0</v>
      </c>
      <c r="CO41" s="360">
        <f t="shared" si="223"/>
        <v>0</v>
      </c>
      <c r="CP41" s="360">
        <f t="shared" si="224"/>
        <v>0</v>
      </c>
      <c r="CQ41" s="360">
        <f t="shared" si="225"/>
        <v>0</v>
      </c>
      <c r="CR41" s="360">
        <f t="shared" si="226"/>
        <v>3644.3235294117649</v>
      </c>
      <c r="CS41" s="360">
        <f t="shared" si="227"/>
        <v>13989.5</v>
      </c>
      <c r="CT41" s="360">
        <f t="shared" si="228"/>
        <v>16794.117647058822</v>
      </c>
      <c r="CU41" s="360">
        <f t="shared" si="229"/>
        <v>16794.117647058822</v>
      </c>
      <c r="CV41" s="360">
        <f t="shared" si="230"/>
        <v>25191.176470588238</v>
      </c>
      <c r="CW41" s="360">
        <f t="shared" si="231"/>
        <v>66336.76470588235</v>
      </c>
      <c r="CX41" s="360">
        <f t="shared" si="232"/>
        <v>0</v>
      </c>
      <c r="CY41" s="360">
        <f t="shared" si="233"/>
        <v>0</v>
      </c>
      <c r="CZ41" s="360">
        <f t="shared" si="234"/>
        <v>0</v>
      </c>
      <c r="DA41" s="360">
        <f t="shared" si="235"/>
        <v>0</v>
      </c>
      <c r="DB41" s="360">
        <f t="shared" si="236"/>
        <v>0</v>
      </c>
      <c r="DC41" s="360">
        <f t="shared" si="237"/>
        <v>0</v>
      </c>
      <c r="DD41" s="360">
        <f t="shared" si="238"/>
        <v>0</v>
      </c>
      <c r="DE41" s="360">
        <f t="shared" si="239"/>
        <v>0</v>
      </c>
      <c r="DF41" s="360">
        <f t="shared" si="240"/>
        <v>0</v>
      </c>
      <c r="DG41" s="360">
        <f t="shared" si="241"/>
        <v>0</v>
      </c>
      <c r="DH41" s="360">
        <f t="shared" si="242"/>
        <v>0</v>
      </c>
      <c r="DI41" s="360">
        <f t="shared" si="243"/>
        <v>0</v>
      </c>
    </row>
    <row r="42" spans="1:113" ht="43.4" customHeight="1" x14ac:dyDescent="0.3">
      <c r="A42" s="55" t="s">
        <v>1554</v>
      </c>
      <c r="B42" s="139"/>
      <c r="C42" s="50" t="s">
        <v>1555</v>
      </c>
      <c r="D42" s="265" t="s">
        <v>297</v>
      </c>
      <c r="E42" s="11" t="s">
        <v>1471</v>
      </c>
      <c r="F42" s="134" t="s">
        <v>299</v>
      </c>
      <c r="G42" s="175">
        <f>'[1]Costs (Arup)'!C58*1.01</f>
        <v>25250</v>
      </c>
      <c r="H42" s="114" t="s">
        <v>871</v>
      </c>
      <c r="I42" s="59">
        <v>0</v>
      </c>
      <c r="J42" s="59">
        <f t="shared" si="0"/>
        <v>25250</v>
      </c>
      <c r="K42" s="126">
        <f t="shared" si="50"/>
        <v>25250</v>
      </c>
      <c r="L42" s="126" t="s">
        <v>1453</v>
      </c>
      <c r="M42" s="413">
        <f t="shared" si="51"/>
        <v>0</v>
      </c>
      <c r="N42" s="100" t="s">
        <v>890</v>
      </c>
      <c r="O42" s="98"/>
      <c r="P42" s="98"/>
      <c r="Q42" s="98"/>
      <c r="R42" s="98"/>
      <c r="S42" s="98"/>
      <c r="T42" s="160"/>
      <c r="U42" s="242">
        <f>[1]Phasing!D$30</f>
        <v>0</v>
      </c>
      <c r="V42" s="242">
        <f>[1]Phasing!E$30</f>
        <v>0.33333333333333331</v>
      </c>
      <c r="W42" s="242">
        <f>[1]Phasing!F$30</f>
        <v>0.33333333333333331</v>
      </c>
      <c r="X42" s="242">
        <f>[1]Phasing!G$30</f>
        <v>0.33333333333333331</v>
      </c>
      <c r="Y42" s="242">
        <f>[1]Phasing!H$30</f>
        <v>0</v>
      </c>
      <c r="Z42" s="247">
        <f>[1]Phasing!I$30</f>
        <v>0</v>
      </c>
      <c r="AA42" s="131"/>
      <c r="AB42" s="32"/>
      <c r="AC42" s="11" t="s">
        <v>1473</v>
      </c>
      <c r="AD42" s="274" t="s">
        <v>241</v>
      </c>
      <c r="AE42" s="11"/>
      <c r="AF42" s="97" t="s">
        <v>242</v>
      </c>
      <c r="AG42" s="94" t="s">
        <v>252</v>
      </c>
      <c r="AH42" s="177"/>
      <c r="AI42" s="132"/>
      <c r="AJ42" s="8"/>
      <c r="AK42" s="8"/>
      <c r="AL42" s="8"/>
      <c r="AM42" s="8"/>
      <c r="AN42" s="87">
        <f>K42</f>
        <v>25250</v>
      </c>
      <c r="AO42" s="8"/>
      <c r="AP42" s="8"/>
      <c r="AQ42" s="8"/>
      <c r="AR42" s="8"/>
      <c r="AS42" s="8"/>
      <c r="AT42" s="8"/>
      <c r="AU42" s="8"/>
      <c r="AV42" s="8"/>
      <c r="AW42" s="8"/>
      <c r="AX42" s="8"/>
      <c r="AY42" s="8"/>
      <c r="AZ42" s="8"/>
      <c r="BA42" s="8"/>
      <c r="BB42" s="8"/>
      <c r="BC42" s="8"/>
      <c r="BD42" s="8"/>
      <c r="BE42" s="8"/>
      <c r="BF42" s="8"/>
      <c r="BG42" s="8"/>
      <c r="BH42" s="8"/>
      <c r="BI42" s="8"/>
      <c r="BJ42" s="8"/>
      <c r="BK42" s="288" t="b">
        <f t="shared" si="1"/>
        <v>1</v>
      </c>
      <c r="BN42" s="360">
        <f t="shared" si="196"/>
        <v>0</v>
      </c>
      <c r="BO42" s="360">
        <f t="shared" si="197"/>
        <v>0</v>
      </c>
      <c r="BP42" s="360">
        <f t="shared" si="198"/>
        <v>0</v>
      </c>
      <c r="BQ42" s="360">
        <f t="shared" si="199"/>
        <v>0</v>
      </c>
      <c r="BR42" s="360">
        <f t="shared" si="200"/>
        <v>0</v>
      </c>
      <c r="BS42" s="360">
        <f t="shared" si="201"/>
        <v>0</v>
      </c>
      <c r="BT42" s="360">
        <f t="shared" si="202"/>
        <v>0</v>
      </c>
      <c r="BU42" s="360">
        <f t="shared" si="203"/>
        <v>0</v>
      </c>
      <c r="BV42" s="360">
        <f t="shared" si="204"/>
        <v>0</v>
      </c>
      <c r="BW42" s="360">
        <f t="shared" si="205"/>
        <v>0</v>
      </c>
      <c r="BX42" s="360">
        <f t="shared" si="206"/>
        <v>0</v>
      </c>
      <c r="BY42" s="360">
        <f t="shared" si="207"/>
        <v>0</v>
      </c>
      <c r="BZ42" s="360">
        <f t="shared" si="208"/>
        <v>0</v>
      </c>
      <c r="CA42" s="360">
        <f t="shared" si="209"/>
        <v>0</v>
      </c>
      <c r="CB42" s="360">
        <f t="shared" si="210"/>
        <v>0</v>
      </c>
      <c r="CC42" s="360">
        <f t="shared" si="211"/>
        <v>0</v>
      </c>
      <c r="CD42" s="360">
        <f t="shared" si="212"/>
        <v>0</v>
      </c>
      <c r="CE42" s="360">
        <f t="shared" si="213"/>
        <v>0</v>
      </c>
      <c r="CF42" s="360">
        <f t="shared" si="214"/>
        <v>0</v>
      </c>
      <c r="CG42" s="360">
        <f t="shared" si="215"/>
        <v>0</v>
      </c>
      <c r="CH42" s="360">
        <f t="shared" si="216"/>
        <v>0</v>
      </c>
      <c r="CI42" s="360">
        <f t="shared" si="217"/>
        <v>0</v>
      </c>
      <c r="CJ42" s="360">
        <f t="shared" si="218"/>
        <v>0</v>
      </c>
      <c r="CK42" s="360">
        <f t="shared" si="219"/>
        <v>0</v>
      </c>
      <c r="CL42" s="360">
        <f t="shared" si="220"/>
        <v>0</v>
      </c>
      <c r="CM42" s="360">
        <f t="shared" si="221"/>
        <v>0</v>
      </c>
      <c r="CN42" s="360">
        <f t="shared" si="222"/>
        <v>0</v>
      </c>
      <c r="CO42" s="360">
        <f t="shared" si="223"/>
        <v>0</v>
      </c>
      <c r="CP42" s="360">
        <f t="shared" si="224"/>
        <v>0</v>
      </c>
      <c r="CQ42" s="360">
        <f t="shared" si="225"/>
        <v>0</v>
      </c>
      <c r="CR42" s="360">
        <f t="shared" si="226"/>
        <v>0</v>
      </c>
      <c r="CS42" s="360">
        <f t="shared" si="227"/>
        <v>0</v>
      </c>
      <c r="CT42" s="360">
        <f t="shared" si="228"/>
        <v>0</v>
      </c>
      <c r="CU42" s="360">
        <f t="shared" si="229"/>
        <v>0</v>
      </c>
      <c r="CV42" s="360">
        <f t="shared" si="230"/>
        <v>0</v>
      </c>
      <c r="CW42" s="360">
        <f t="shared" si="231"/>
        <v>0</v>
      </c>
      <c r="CX42" s="360">
        <f t="shared" si="232"/>
        <v>0</v>
      </c>
      <c r="CY42" s="360">
        <f t="shared" si="233"/>
        <v>8416.6666666666661</v>
      </c>
      <c r="CZ42" s="360">
        <f t="shared" si="234"/>
        <v>8416.6666666666661</v>
      </c>
      <c r="DA42" s="360">
        <f t="shared" si="235"/>
        <v>8416.6666666666661</v>
      </c>
      <c r="DB42" s="360">
        <f t="shared" si="236"/>
        <v>0</v>
      </c>
      <c r="DC42" s="360">
        <f t="shared" si="237"/>
        <v>0</v>
      </c>
      <c r="DD42" s="360">
        <f t="shared" si="238"/>
        <v>0</v>
      </c>
      <c r="DE42" s="360">
        <f t="shared" si="239"/>
        <v>0</v>
      </c>
      <c r="DF42" s="360">
        <f t="shared" si="240"/>
        <v>0</v>
      </c>
      <c r="DG42" s="360">
        <f t="shared" si="241"/>
        <v>0</v>
      </c>
      <c r="DH42" s="360">
        <f t="shared" si="242"/>
        <v>0</v>
      </c>
      <c r="DI42" s="360">
        <f t="shared" si="243"/>
        <v>0</v>
      </c>
    </row>
    <row r="43" spans="1:113" ht="42" x14ac:dyDescent="0.3">
      <c r="A43" s="55" t="s">
        <v>1556</v>
      </c>
      <c r="B43" s="139" t="s">
        <v>1544</v>
      </c>
      <c r="C43" s="11" t="s">
        <v>1557</v>
      </c>
      <c r="D43" s="265" t="s">
        <v>297</v>
      </c>
      <c r="E43" s="11" t="s">
        <v>1458</v>
      </c>
      <c r="F43" s="134" t="s">
        <v>299</v>
      </c>
      <c r="G43" s="175">
        <f>'[1]Costs (Arup)'!C58*0.69</f>
        <v>17250</v>
      </c>
      <c r="H43" s="114" t="s">
        <v>871</v>
      </c>
      <c r="I43" s="59">
        <v>0</v>
      </c>
      <c r="J43" s="59">
        <f>G43-I43</f>
        <v>17250</v>
      </c>
      <c r="K43" s="126">
        <f>J43</f>
        <v>17250</v>
      </c>
      <c r="L43" s="126" t="s">
        <v>1453</v>
      </c>
      <c r="M43" s="413">
        <f t="shared" si="51"/>
        <v>0</v>
      </c>
      <c r="N43" s="100" t="s">
        <v>1183</v>
      </c>
      <c r="O43" s="98"/>
      <c r="P43" s="98"/>
      <c r="Q43" s="98"/>
      <c r="R43" s="26"/>
      <c r="S43" s="26"/>
      <c r="T43" s="170"/>
      <c r="U43" s="242">
        <f>[1]Phasing!D$31</f>
        <v>0.17959895379250218</v>
      </c>
      <c r="V43" s="242">
        <f>[1]Phasing!E$31</f>
        <v>0.1054925893635571</v>
      </c>
      <c r="W43" s="242">
        <f>[1]Phasing!F$31</f>
        <v>0.71490845684394067</v>
      </c>
      <c r="X43" s="243">
        <f>[1]Phasing!G$31</f>
        <v>0</v>
      </c>
      <c r="Y43" s="243">
        <f>[1]Phasing!H$31</f>
        <v>0</v>
      </c>
      <c r="Z43" s="244">
        <f>[1]Phasing!I$31</f>
        <v>0</v>
      </c>
      <c r="AA43" s="131" t="s">
        <v>1353</v>
      </c>
      <c r="AB43" s="131" t="s">
        <v>1461</v>
      </c>
      <c r="AC43" s="11" t="s">
        <v>1462</v>
      </c>
      <c r="AD43" s="274" t="s">
        <v>241</v>
      </c>
      <c r="AE43" s="11"/>
      <c r="AF43" s="405" t="s">
        <v>461</v>
      </c>
      <c r="AG43" s="173" t="s">
        <v>875</v>
      </c>
      <c r="AH43" s="177"/>
      <c r="AI43" s="132"/>
      <c r="AJ43" s="8"/>
      <c r="AK43" s="8"/>
      <c r="AL43" s="8"/>
      <c r="AM43" s="8"/>
      <c r="AN43" s="8"/>
      <c r="AO43" s="87">
        <f>$K$43*'[1]Apportionment %'!J6</f>
        <v>9775.501307759374</v>
      </c>
      <c r="AP43" s="87">
        <f>$K$43*'[1]Apportionment %'!K6</f>
        <v>1052.7462946817786</v>
      </c>
      <c r="AQ43" s="87">
        <f>$K$43*'[1]Apportionment %'!L6</f>
        <v>1037.7070619006104</v>
      </c>
      <c r="AR43" s="87">
        <f>$K$43*'[1]Apportionment %'!M6</f>
        <v>631.64777680906707</v>
      </c>
      <c r="AS43" s="87">
        <f>$K$43*'[1]Apportionment %'!N6</f>
        <v>541.41238012205758</v>
      </c>
      <c r="AT43" s="87">
        <f>$K$43*'[1]Apportionment %'!O6</f>
        <v>526.37314734088932</v>
      </c>
      <c r="AU43" s="87">
        <f>$K$43*'[1]Apportionment %'!P6</f>
        <v>526.37314734088932</v>
      </c>
      <c r="AV43" s="87">
        <f>$K$43*'[1]Apportionment %'!Q6</f>
        <v>526.37314734088932</v>
      </c>
      <c r="AW43" s="87">
        <f>$K$43*'[1]Apportionment %'!R6</f>
        <v>345.90235396687012</v>
      </c>
      <c r="AX43" s="87">
        <f>$K$43*'[1]Apportionment %'!S6</f>
        <v>300.78465562336527</v>
      </c>
      <c r="AY43" s="87">
        <f>$K$43*'[1]Apportionment %'!T6</f>
        <v>240.62772449869226</v>
      </c>
      <c r="AZ43" s="87">
        <f>$K$43*'[1]Apportionment %'!U6</f>
        <v>240.62772449869226</v>
      </c>
      <c r="BA43" s="87">
        <f>$K$43*'[1]Apportionment %'!V6</f>
        <v>225.58849171752397</v>
      </c>
      <c r="BB43" s="87">
        <f>$K$43*'[1]Apportionment %'!W6</f>
        <v>195.51002615518743</v>
      </c>
      <c r="BC43" s="87">
        <f>$K$43*'[1]Apportionment %'!X6</f>
        <v>180.47079337401919</v>
      </c>
      <c r="BD43" s="87">
        <f>$K$43*'[1]Apportionment %'!Y6</f>
        <v>150.39232781168263</v>
      </c>
      <c r="BE43" s="87">
        <f>$K$43*'[1]Apportionment %'!Z6</f>
        <v>150.39232781168263</v>
      </c>
      <c r="BF43" s="87">
        <f>$K$43*'[1]Apportionment %'!AA6</f>
        <v>150.39232781168263</v>
      </c>
      <c r="BG43" s="87">
        <f>$K$43*'[1]Apportionment %'!AB6</f>
        <v>150.39232781168263</v>
      </c>
      <c r="BH43" s="87">
        <f>$K$43*'[1]Apportionment %'!AC6</f>
        <v>150.39232781168263</v>
      </c>
      <c r="BI43" s="87">
        <f>$K$43*'[1]Apportionment %'!AD6</f>
        <v>150.39232781168263</v>
      </c>
      <c r="BJ43" s="8"/>
      <c r="BK43" s="288" t="b">
        <f t="shared" si="1"/>
        <v>1</v>
      </c>
      <c r="BN43" s="360">
        <f t="shared" si="196"/>
        <v>0</v>
      </c>
      <c r="BO43" s="360">
        <f t="shared" si="197"/>
        <v>0</v>
      </c>
      <c r="BP43" s="360">
        <f t="shared" si="198"/>
        <v>0</v>
      </c>
      <c r="BQ43" s="360">
        <f t="shared" si="199"/>
        <v>0</v>
      </c>
      <c r="BR43" s="360">
        <f t="shared" si="200"/>
        <v>0</v>
      </c>
      <c r="BS43" s="360">
        <f t="shared" si="201"/>
        <v>0</v>
      </c>
      <c r="BT43" s="360">
        <f t="shared" si="202"/>
        <v>0</v>
      </c>
      <c r="BU43" s="360">
        <f t="shared" si="203"/>
        <v>0</v>
      </c>
      <c r="BV43" s="360">
        <f t="shared" si="204"/>
        <v>0</v>
      </c>
      <c r="BW43" s="360">
        <f t="shared" si="205"/>
        <v>0</v>
      </c>
      <c r="BX43" s="360">
        <f t="shared" si="206"/>
        <v>0</v>
      </c>
      <c r="BY43" s="360">
        <f t="shared" si="207"/>
        <v>0</v>
      </c>
      <c r="BZ43" s="360">
        <f t="shared" si="208"/>
        <v>0</v>
      </c>
      <c r="CA43" s="360">
        <f t="shared" si="209"/>
        <v>0</v>
      </c>
      <c r="CB43" s="360">
        <f t="shared" si="210"/>
        <v>0</v>
      </c>
      <c r="CC43" s="360">
        <f t="shared" si="211"/>
        <v>0</v>
      </c>
      <c r="CD43" s="360">
        <f t="shared" si="212"/>
        <v>0</v>
      </c>
      <c r="CE43" s="360">
        <f t="shared" si="213"/>
        <v>0</v>
      </c>
      <c r="CF43" s="360">
        <f t="shared" si="214"/>
        <v>0</v>
      </c>
      <c r="CG43" s="360">
        <f t="shared" si="215"/>
        <v>0</v>
      </c>
      <c r="CH43" s="360">
        <f t="shared" si="216"/>
        <v>0</v>
      </c>
      <c r="CI43" s="360">
        <f t="shared" si="217"/>
        <v>0</v>
      </c>
      <c r="CJ43" s="360">
        <f t="shared" si="218"/>
        <v>0</v>
      </c>
      <c r="CK43" s="360">
        <f t="shared" si="219"/>
        <v>0</v>
      </c>
      <c r="CL43" s="360">
        <f t="shared" si="220"/>
        <v>0</v>
      </c>
      <c r="CM43" s="360">
        <f t="shared" si="221"/>
        <v>0</v>
      </c>
      <c r="CN43" s="360">
        <f t="shared" si="222"/>
        <v>0</v>
      </c>
      <c r="CO43" s="360">
        <f t="shared" si="223"/>
        <v>0</v>
      </c>
      <c r="CP43" s="360">
        <f t="shared" si="224"/>
        <v>0</v>
      </c>
      <c r="CQ43" s="360">
        <f t="shared" si="225"/>
        <v>0</v>
      </c>
      <c r="CR43" s="360">
        <f t="shared" si="226"/>
        <v>0</v>
      </c>
      <c r="CS43" s="360">
        <f t="shared" si="227"/>
        <v>0</v>
      </c>
      <c r="CT43" s="360">
        <f t="shared" si="228"/>
        <v>0</v>
      </c>
      <c r="CU43" s="360">
        <f t="shared" si="229"/>
        <v>0</v>
      </c>
      <c r="CV43" s="360">
        <f t="shared" si="230"/>
        <v>0</v>
      </c>
      <c r="CW43" s="360">
        <f t="shared" si="231"/>
        <v>0</v>
      </c>
      <c r="CX43" s="360">
        <f t="shared" si="232"/>
        <v>0</v>
      </c>
      <c r="CY43" s="360">
        <f t="shared" si="233"/>
        <v>0</v>
      </c>
      <c r="CZ43" s="360">
        <f t="shared" si="234"/>
        <v>0</v>
      </c>
      <c r="DA43" s="360">
        <f t="shared" si="235"/>
        <v>0</v>
      </c>
      <c r="DB43" s="360">
        <f t="shared" si="236"/>
        <v>0</v>
      </c>
      <c r="DC43" s="360">
        <f t="shared" si="237"/>
        <v>0</v>
      </c>
      <c r="DD43" s="360">
        <f t="shared" si="238"/>
        <v>1755.6698076708205</v>
      </c>
      <c r="DE43" s="360">
        <f t="shared" si="239"/>
        <v>1031.2429452823751</v>
      </c>
      <c r="DF43" s="360">
        <f t="shared" si="240"/>
        <v>6988.5885548061779</v>
      </c>
      <c r="DG43" s="360">
        <f t="shared" si="241"/>
        <v>0</v>
      </c>
      <c r="DH43" s="360">
        <f t="shared" si="242"/>
        <v>0</v>
      </c>
      <c r="DI43" s="360">
        <f t="shared" si="243"/>
        <v>0</v>
      </c>
    </row>
    <row r="44" spans="1:113" s="348" customFormat="1" x14ac:dyDescent="0.35">
      <c r="A44" s="60" t="s">
        <v>995</v>
      </c>
      <c r="B44" s="138"/>
      <c r="C44" s="38"/>
      <c r="D44" s="38"/>
      <c r="E44" s="38"/>
      <c r="F44" s="167"/>
      <c r="G44" s="166"/>
      <c r="H44" s="41"/>
      <c r="I44" s="41"/>
      <c r="J44" s="41"/>
      <c r="K44" s="41"/>
      <c r="L44" s="41"/>
      <c r="M44" s="414"/>
      <c r="N44" s="169"/>
      <c r="O44" s="42"/>
      <c r="P44" s="42"/>
      <c r="Q44" s="42"/>
      <c r="R44" s="42"/>
      <c r="S44" s="42"/>
      <c r="T44" s="171"/>
      <c r="U44" s="229"/>
      <c r="V44" s="229"/>
      <c r="W44" s="229"/>
      <c r="X44" s="229"/>
      <c r="Y44" s="229"/>
      <c r="Z44" s="230"/>
      <c r="AA44" s="169"/>
      <c r="AB44" s="60"/>
      <c r="AC44" s="37"/>
      <c r="AD44" s="37"/>
      <c r="AE44" s="37"/>
      <c r="AF44" s="36"/>
      <c r="AG44" s="172"/>
      <c r="AH44" s="178"/>
      <c r="AI44" s="133"/>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288"/>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row>
    <row r="45" spans="1:113" ht="28" x14ac:dyDescent="0.3">
      <c r="A45" s="55" t="s">
        <v>1558</v>
      </c>
      <c r="B45" s="139"/>
      <c r="C45" s="11" t="s">
        <v>1559</v>
      </c>
      <c r="D45" s="265" t="s">
        <v>297</v>
      </c>
      <c r="E45" s="11" t="s">
        <v>1384</v>
      </c>
      <c r="F45" s="134" t="s">
        <v>299</v>
      </c>
      <c r="G45" s="113" t="s">
        <v>371</v>
      </c>
      <c r="H45" s="116"/>
      <c r="I45" s="48">
        <v>0</v>
      </c>
      <c r="J45" s="272" t="s">
        <v>371</v>
      </c>
      <c r="K45" s="118" t="s">
        <v>371</v>
      </c>
      <c r="L45" s="126"/>
      <c r="M45" s="363" t="s">
        <v>371</v>
      </c>
      <c r="N45" s="1" t="s">
        <v>421</v>
      </c>
      <c r="O45" s="98"/>
      <c r="P45" s="98"/>
      <c r="Q45" s="98"/>
      <c r="R45" s="10"/>
      <c r="S45" s="10"/>
      <c r="T45" s="218"/>
      <c r="U45" s="224"/>
      <c r="V45" s="242"/>
      <c r="W45" s="224"/>
      <c r="X45" s="223"/>
      <c r="Y45" s="223"/>
      <c r="Z45" s="225"/>
      <c r="AA45" s="131"/>
      <c r="AB45" s="11"/>
      <c r="AC45" s="11" t="s">
        <v>1009</v>
      </c>
      <c r="AD45" s="276" t="s">
        <v>382</v>
      </c>
      <c r="AE45" s="11"/>
      <c r="AF45" s="97" t="s">
        <v>242</v>
      </c>
      <c r="AG45" s="173" t="s">
        <v>1373</v>
      </c>
      <c r="AH45" s="177"/>
      <c r="AI45" s="132"/>
      <c r="AJ45" s="132"/>
      <c r="AK45" s="132"/>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288" t="b">
        <f t="shared" si="1"/>
        <v>0</v>
      </c>
      <c r="BN45" s="360">
        <f>$U45*AH45</f>
        <v>0</v>
      </c>
      <c r="BO45" s="360">
        <f>$V45*AH45</f>
        <v>0</v>
      </c>
      <c r="BP45" s="360">
        <f>$W45*AH45</f>
        <v>0</v>
      </c>
      <c r="BQ45" s="360">
        <f>$X45*AH45</f>
        <v>0</v>
      </c>
      <c r="BR45" s="360">
        <f>$Y45*AH45</f>
        <v>0</v>
      </c>
      <c r="BS45" s="360">
        <f>$Z45*AH45</f>
        <v>0</v>
      </c>
      <c r="BT45" s="360">
        <f>$U45*AI45</f>
        <v>0</v>
      </c>
      <c r="BU45" s="360">
        <f>$V45*AI45</f>
        <v>0</v>
      </c>
      <c r="BV45" s="360">
        <f>$W45*AI45</f>
        <v>0</v>
      </c>
      <c r="BW45" s="360">
        <f>$X45*AI45</f>
        <v>0</v>
      </c>
      <c r="BX45" s="360">
        <f>$Y45*AI45</f>
        <v>0</v>
      </c>
      <c r="BY45" s="360">
        <f>$Z45*AI45</f>
        <v>0</v>
      </c>
      <c r="BZ45" s="360">
        <f>$U45*AJ45</f>
        <v>0</v>
      </c>
      <c r="CA45" s="360">
        <f>$V45*AJ45</f>
        <v>0</v>
      </c>
      <c r="CB45" s="360">
        <f>$W45*AJ45</f>
        <v>0</v>
      </c>
      <c r="CC45" s="360">
        <f>$X45*AJ45</f>
        <v>0</v>
      </c>
      <c r="CD45" s="360">
        <f>$Y45*AJ45</f>
        <v>0</v>
      </c>
      <c r="CE45" s="360">
        <f>$Z45*AJ45</f>
        <v>0</v>
      </c>
      <c r="CF45" s="360">
        <f>$U45*AK45</f>
        <v>0</v>
      </c>
      <c r="CG45" s="360">
        <f>$V45*AK45</f>
        <v>0</v>
      </c>
      <c r="CH45" s="360">
        <f>$W45*AK45</f>
        <v>0</v>
      </c>
      <c r="CI45" s="360">
        <f>$X45*AK45</f>
        <v>0</v>
      </c>
      <c r="CJ45" s="360">
        <f>$Y45*AK45</f>
        <v>0</v>
      </c>
      <c r="CK45" s="360">
        <f>$Z45*AK45</f>
        <v>0</v>
      </c>
      <c r="CL45" s="360">
        <f>$U45*AL45</f>
        <v>0</v>
      </c>
      <c r="CM45" s="360">
        <f>$V45*AL45</f>
        <v>0</v>
      </c>
      <c r="CN45" s="360">
        <f>$W45*AL45</f>
        <v>0</v>
      </c>
      <c r="CO45" s="360">
        <f>$X45*AL45</f>
        <v>0</v>
      </c>
      <c r="CP45" s="360">
        <f>$Y45*AL45</f>
        <v>0</v>
      </c>
      <c r="CQ45" s="360">
        <f>$Z45*AL45</f>
        <v>0</v>
      </c>
      <c r="CR45" s="360">
        <f>$U45*AM45</f>
        <v>0</v>
      </c>
      <c r="CS45" s="360">
        <f>$V45*AM45</f>
        <v>0</v>
      </c>
      <c r="CT45" s="360">
        <f>$W45*AM45</f>
        <v>0</v>
      </c>
      <c r="CU45" s="360">
        <f>$X45*AM45</f>
        <v>0</v>
      </c>
      <c r="CV45" s="360">
        <f>$Y45*AM45</f>
        <v>0</v>
      </c>
      <c r="CW45" s="360">
        <f>$Z45*AM45</f>
        <v>0</v>
      </c>
      <c r="CX45" s="360">
        <f>$U45*AN45</f>
        <v>0</v>
      </c>
      <c r="CY45" s="360">
        <f>$V45*AN45</f>
        <v>0</v>
      </c>
      <c r="CZ45" s="360">
        <f>$W45*AN45</f>
        <v>0</v>
      </c>
      <c r="DA45" s="360">
        <f>$X45*AN45</f>
        <v>0</v>
      </c>
      <c r="DB45" s="360">
        <f>$Y45*AN45</f>
        <v>0</v>
      </c>
      <c r="DC45" s="360">
        <f>$Z45*AN45</f>
        <v>0</v>
      </c>
      <c r="DD45" s="360">
        <f>$U45*AO45</f>
        <v>0</v>
      </c>
      <c r="DE45" s="360">
        <f>$V45*AO45</f>
        <v>0</v>
      </c>
      <c r="DF45" s="360">
        <f>$W45*AO45</f>
        <v>0</v>
      </c>
      <c r="DG45" s="360">
        <f>$X45*AO45</f>
        <v>0</v>
      </c>
      <c r="DH45" s="360">
        <f>$Y45*AO45</f>
        <v>0</v>
      </c>
      <c r="DI45" s="360">
        <f>$Z45*AO45</f>
        <v>0</v>
      </c>
    </row>
    <row r="46" spans="1:113" ht="364" x14ac:dyDescent="0.3">
      <c r="A46" s="55" t="s">
        <v>1560</v>
      </c>
      <c r="B46" s="139"/>
      <c r="C46" s="11" t="s">
        <v>1561</v>
      </c>
      <c r="D46" s="56" t="s">
        <v>281</v>
      </c>
      <c r="E46" s="11" t="s">
        <v>1452</v>
      </c>
      <c r="F46" s="134" t="s">
        <v>299</v>
      </c>
      <c r="G46" s="175">
        <f>'[1]Costs (Arup)'!C57*30*1.5</f>
        <v>2250000</v>
      </c>
      <c r="H46" s="116" t="s">
        <v>1562</v>
      </c>
      <c r="I46" s="59">
        <v>0</v>
      </c>
      <c r="J46" s="59">
        <f t="shared" si="0"/>
        <v>2250000</v>
      </c>
      <c r="K46" s="126">
        <v>0</v>
      </c>
      <c r="L46" s="116" t="s">
        <v>938</v>
      </c>
      <c r="M46" s="413">
        <f t="shared" si="51"/>
        <v>2250000</v>
      </c>
      <c r="N46" s="100" t="s">
        <v>402</v>
      </c>
      <c r="O46" s="98"/>
      <c r="P46" s="98"/>
      <c r="Q46" s="98"/>
      <c r="R46" s="26"/>
      <c r="S46" s="26"/>
      <c r="T46" s="170"/>
      <c r="U46" s="224"/>
      <c r="V46" s="242">
        <v>1</v>
      </c>
      <c r="W46" s="224"/>
      <c r="X46" s="223"/>
      <c r="Y46" s="223"/>
      <c r="Z46" s="225"/>
      <c r="AA46" s="131" t="s">
        <v>1563</v>
      </c>
      <c r="AB46" s="11"/>
      <c r="AC46" s="11" t="s">
        <v>1564</v>
      </c>
      <c r="AD46" s="275" t="s">
        <v>346</v>
      </c>
      <c r="AE46" s="11"/>
      <c r="AF46" s="405" t="s">
        <v>461</v>
      </c>
      <c r="AG46" s="173" t="s">
        <v>268</v>
      </c>
      <c r="AH46" s="177"/>
      <c r="AI46" s="132"/>
      <c r="AJ46" s="132"/>
      <c r="AK46" s="132"/>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288" t="b">
        <f t="shared" si="1"/>
        <v>1</v>
      </c>
      <c r="BN46" s="360">
        <f>$U46*AH46</f>
        <v>0</v>
      </c>
      <c r="BO46" s="360">
        <f>$V46*AH46</f>
        <v>0</v>
      </c>
      <c r="BP46" s="360">
        <f>$W46*AH46</f>
        <v>0</v>
      </c>
      <c r="BQ46" s="360">
        <f>$X46*AH46</f>
        <v>0</v>
      </c>
      <c r="BR46" s="360">
        <f>$Y46*AH46</f>
        <v>0</v>
      </c>
      <c r="BS46" s="360">
        <f>$Z46*AH46</f>
        <v>0</v>
      </c>
      <c r="BT46" s="360">
        <f>$U46*AI46</f>
        <v>0</v>
      </c>
      <c r="BU46" s="360">
        <f>$V46*AI46</f>
        <v>0</v>
      </c>
      <c r="BV46" s="360">
        <f>$W46*AI46</f>
        <v>0</v>
      </c>
      <c r="BW46" s="360">
        <f>$X46*AI46</f>
        <v>0</v>
      </c>
      <c r="BX46" s="360">
        <f>$Y46*AI46</f>
        <v>0</v>
      </c>
      <c r="BY46" s="360">
        <f>$Z46*AI46</f>
        <v>0</v>
      </c>
      <c r="BZ46" s="360">
        <f>$U46*AJ46</f>
        <v>0</v>
      </c>
      <c r="CA46" s="360">
        <f>$V46*AJ46</f>
        <v>0</v>
      </c>
      <c r="CB46" s="360">
        <f>$W46*AJ46</f>
        <v>0</v>
      </c>
      <c r="CC46" s="360">
        <f>$X46*AJ46</f>
        <v>0</v>
      </c>
      <c r="CD46" s="360">
        <f>$Y46*AJ46</f>
        <v>0</v>
      </c>
      <c r="CE46" s="360">
        <f>$Z46*AJ46</f>
        <v>0</v>
      </c>
      <c r="CF46" s="360">
        <f>$U46*AK46</f>
        <v>0</v>
      </c>
      <c r="CG46" s="360">
        <f>$V46*AK46</f>
        <v>0</v>
      </c>
      <c r="CH46" s="360">
        <f>$W46*AK46</f>
        <v>0</v>
      </c>
      <c r="CI46" s="360">
        <f>$X46*AK46</f>
        <v>0</v>
      </c>
      <c r="CJ46" s="360">
        <f>$Y46*AK46</f>
        <v>0</v>
      </c>
      <c r="CK46" s="360">
        <f>$Z46*AK46</f>
        <v>0</v>
      </c>
      <c r="CL46" s="360">
        <f>$U46*AL46</f>
        <v>0</v>
      </c>
      <c r="CM46" s="360">
        <f>$V46*AL46</f>
        <v>0</v>
      </c>
      <c r="CN46" s="360">
        <f>$W46*AL46</f>
        <v>0</v>
      </c>
      <c r="CO46" s="360">
        <f>$X46*AL46</f>
        <v>0</v>
      </c>
      <c r="CP46" s="360">
        <f>$Y46*AL46</f>
        <v>0</v>
      </c>
      <c r="CQ46" s="360">
        <f>$Z46*AL46</f>
        <v>0</v>
      </c>
      <c r="CR46" s="360">
        <f>$U46*AM46</f>
        <v>0</v>
      </c>
      <c r="CS46" s="360">
        <f>$V46*AM46</f>
        <v>0</v>
      </c>
      <c r="CT46" s="360">
        <f>$W46*AM46</f>
        <v>0</v>
      </c>
      <c r="CU46" s="360">
        <f>$X46*AM46</f>
        <v>0</v>
      </c>
      <c r="CV46" s="360">
        <f>$Y46*AM46</f>
        <v>0</v>
      </c>
      <c r="CW46" s="360">
        <f>$Z46*AM46</f>
        <v>0</v>
      </c>
      <c r="CX46" s="360">
        <f>$U46*AN46</f>
        <v>0</v>
      </c>
      <c r="CY46" s="360">
        <f>$V46*AN46</f>
        <v>0</v>
      </c>
      <c r="CZ46" s="360">
        <f>$W46*AN46</f>
        <v>0</v>
      </c>
      <c r="DA46" s="360">
        <f>$X46*AN46</f>
        <v>0</v>
      </c>
      <c r="DB46" s="360">
        <f>$Y46*AN46</f>
        <v>0</v>
      </c>
      <c r="DC46" s="360">
        <f>$Z46*AN46</f>
        <v>0</v>
      </c>
      <c r="DD46" s="360">
        <f>$U46*AO46</f>
        <v>0</v>
      </c>
      <c r="DE46" s="360">
        <f>$V46*AO46</f>
        <v>0</v>
      </c>
      <c r="DF46" s="360">
        <f>$W46*AO46</f>
        <v>0</v>
      </c>
      <c r="DG46" s="360">
        <f>$X46*AO46</f>
        <v>0</v>
      </c>
      <c r="DH46" s="360">
        <f>$Y46*AO46</f>
        <v>0</v>
      </c>
      <c r="DI46" s="360">
        <f>$Z46*AO46</f>
        <v>0</v>
      </c>
    </row>
    <row r="47" spans="1:113" ht="42" x14ac:dyDescent="0.3">
      <c r="A47" s="55" t="s">
        <v>1565</v>
      </c>
      <c r="B47" s="139"/>
      <c r="C47" s="11" t="s">
        <v>1566</v>
      </c>
      <c r="D47" s="56" t="s">
        <v>281</v>
      </c>
      <c r="E47" s="11" t="s">
        <v>1452</v>
      </c>
      <c r="F47" s="134" t="s">
        <v>299</v>
      </c>
      <c r="G47" s="175">
        <v>175000</v>
      </c>
      <c r="H47" s="116" t="s">
        <v>1567</v>
      </c>
      <c r="I47" s="59">
        <v>0</v>
      </c>
      <c r="J47" s="61">
        <f>G47-I47</f>
        <v>175000</v>
      </c>
      <c r="K47" s="126">
        <v>0</v>
      </c>
      <c r="L47" s="116" t="s">
        <v>938</v>
      </c>
      <c r="M47" s="413">
        <f t="shared" si="51"/>
        <v>175000</v>
      </c>
      <c r="N47" s="100" t="s">
        <v>402</v>
      </c>
      <c r="O47" s="98"/>
      <c r="P47" s="98"/>
      <c r="Q47" s="98"/>
      <c r="R47" s="26"/>
      <c r="S47" s="26"/>
      <c r="T47" s="170"/>
      <c r="U47" s="224"/>
      <c r="V47" s="242"/>
      <c r="W47" s="224"/>
      <c r="X47" s="223"/>
      <c r="Y47" s="223"/>
      <c r="Z47" s="225"/>
      <c r="AA47" s="131" t="s">
        <v>1568</v>
      </c>
      <c r="AB47" s="11"/>
      <c r="AC47" s="11" t="s">
        <v>1569</v>
      </c>
      <c r="AD47" s="275" t="s">
        <v>346</v>
      </c>
      <c r="AE47" s="11"/>
      <c r="AF47" s="6" t="s">
        <v>232</v>
      </c>
      <c r="AG47" s="173"/>
      <c r="AH47" s="177"/>
      <c r="AI47" s="132"/>
      <c r="AJ47" s="132"/>
      <c r="AK47" s="132"/>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288" t="b">
        <f t="shared" si="1"/>
        <v>1</v>
      </c>
      <c r="BN47" s="360">
        <f>$U47*AH47</f>
        <v>0</v>
      </c>
      <c r="BO47" s="360">
        <f>$V47*AH47</f>
        <v>0</v>
      </c>
      <c r="BP47" s="360">
        <f>$W47*AH47</f>
        <v>0</v>
      </c>
      <c r="BQ47" s="360">
        <f>$X47*AH47</f>
        <v>0</v>
      </c>
      <c r="BR47" s="360">
        <f>$Y47*AH47</f>
        <v>0</v>
      </c>
      <c r="BS47" s="360">
        <f>$Z47*AH47</f>
        <v>0</v>
      </c>
      <c r="BT47" s="360">
        <f>$U47*AI47</f>
        <v>0</v>
      </c>
      <c r="BU47" s="360">
        <f>$V47*AI47</f>
        <v>0</v>
      </c>
      <c r="BV47" s="360">
        <f>$W47*AI47</f>
        <v>0</v>
      </c>
      <c r="BW47" s="360">
        <f>$X47*AI47</f>
        <v>0</v>
      </c>
      <c r="BX47" s="360">
        <f>$Y47*AI47</f>
        <v>0</v>
      </c>
      <c r="BY47" s="360">
        <f>$Z47*AI47</f>
        <v>0</v>
      </c>
      <c r="BZ47" s="360">
        <f>$U47*AJ47</f>
        <v>0</v>
      </c>
      <c r="CA47" s="360">
        <f>$V47*AJ47</f>
        <v>0</v>
      </c>
      <c r="CB47" s="360">
        <f>$W47*AJ47</f>
        <v>0</v>
      </c>
      <c r="CC47" s="360">
        <f>$X47*AJ47</f>
        <v>0</v>
      </c>
      <c r="CD47" s="360">
        <f>$Y47*AJ47</f>
        <v>0</v>
      </c>
      <c r="CE47" s="360">
        <f>$Z47*AJ47</f>
        <v>0</v>
      </c>
      <c r="CF47" s="360">
        <f>$U47*AK47</f>
        <v>0</v>
      </c>
      <c r="CG47" s="360">
        <f>$V47*AK47</f>
        <v>0</v>
      </c>
      <c r="CH47" s="360">
        <f>$W47*AK47</f>
        <v>0</v>
      </c>
      <c r="CI47" s="360">
        <f>$X47*AK47</f>
        <v>0</v>
      </c>
      <c r="CJ47" s="360">
        <f>$Y47*AK47</f>
        <v>0</v>
      </c>
      <c r="CK47" s="360">
        <f>$Z47*AK47</f>
        <v>0</v>
      </c>
      <c r="CL47" s="360">
        <f>$U47*AL47</f>
        <v>0</v>
      </c>
      <c r="CM47" s="360">
        <f>$V47*AL47</f>
        <v>0</v>
      </c>
      <c r="CN47" s="360">
        <f>$W47*AL47</f>
        <v>0</v>
      </c>
      <c r="CO47" s="360">
        <f>$X47*AL47</f>
        <v>0</v>
      </c>
      <c r="CP47" s="360">
        <f>$Y47*AL47</f>
        <v>0</v>
      </c>
      <c r="CQ47" s="360">
        <f>$Z47*AL47</f>
        <v>0</v>
      </c>
      <c r="CR47" s="360">
        <f>$U47*AM47</f>
        <v>0</v>
      </c>
      <c r="CS47" s="360">
        <f>$V47*AM47</f>
        <v>0</v>
      </c>
      <c r="CT47" s="360">
        <f>$W47*AM47</f>
        <v>0</v>
      </c>
      <c r="CU47" s="360">
        <f>$X47*AM47</f>
        <v>0</v>
      </c>
      <c r="CV47" s="360">
        <f>$Y47*AM47</f>
        <v>0</v>
      </c>
      <c r="CW47" s="360">
        <f>$Z47*AM47</f>
        <v>0</v>
      </c>
      <c r="CX47" s="360">
        <f>$U47*AN47</f>
        <v>0</v>
      </c>
      <c r="CY47" s="360">
        <f>$V47*AN47</f>
        <v>0</v>
      </c>
      <c r="CZ47" s="360">
        <f>$W47*AN47</f>
        <v>0</v>
      </c>
      <c r="DA47" s="360">
        <f>$X47*AN47</f>
        <v>0</v>
      </c>
      <c r="DB47" s="360">
        <f>$Y47*AN47</f>
        <v>0</v>
      </c>
      <c r="DC47" s="360">
        <f>$Z47*AN47</f>
        <v>0</v>
      </c>
      <c r="DD47" s="360">
        <f>$U47*AO47</f>
        <v>0</v>
      </c>
      <c r="DE47" s="360">
        <f>$V47*AO47</f>
        <v>0</v>
      </c>
      <c r="DF47" s="360">
        <f>$W47*AO47</f>
        <v>0</v>
      </c>
      <c r="DG47" s="360">
        <f>$X47*AO47</f>
        <v>0</v>
      </c>
      <c r="DH47" s="360">
        <f>$Y47*AO47</f>
        <v>0</v>
      </c>
      <c r="DI47" s="360">
        <f>$Z47*AO47</f>
        <v>0</v>
      </c>
    </row>
    <row r="48" spans="1:113" ht="28" x14ac:dyDescent="0.3">
      <c r="A48" s="55" t="s">
        <v>1570</v>
      </c>
      <c r="B48" s="139"/>
      <c r="C48" s="11" t="s">
        <v>1571</v>
      </c>
      <c r="D48" s="265" t="s">
        <v>297</v>
      </c>
      <c r="E48" s="11" t="s">
        <v>1572</v>
      </c>
      <c r="F48" s="134" t="s">
        <v>299</v>
      </c>
      <c r="G48" s="165">
        <v>5000000</v>
      </c>
      <c r="H48" s="162" t="s">
        <v>336</v>
      </c>
      <c r="I48" s="59">
        <v>0</v>
      </c>
      <c r="J48" s="61">
        <f>G48-I48</f>
        <v>5000000</v>
      </c>
      <c r="K48" s="126">
        <f>J48</f>
        <v>5000000</v>
      </c>
      <c r="L48" s="116"/>
      <c r="M48" s="413">
        <f t="shared" si="51"/>
        <v>0</v>
      </c>
      <c r="N48" s="100" t="s">
        <v>890</v>
      </c>
      <c r="O48" s="98"/>
      <c r="P48" s="98"/>
      <c r="Q48" s="98"/>
      <c r="R48" s="98"/>
      <c r="S48" s="98"/>
      <c r="T48" s="160"/>
      <c r="U48" s="224"/>
      <c r="V48" s="242">
        <v>1</v>
      </c>
      <c r="W48" s="224"/>
      <c r="X48" s="224"/>
      <c r="Y48" s="224"/>
      <c r="Z48" s="228"/>
      <c r="AA48" s="131"/>
      <c r="AB48" s="11" t="s">
        <v>336</v>
      </c>
      <c r="AC48" s="11"/>
      <c r="AD48" s="274" t="s">
        <v>241</v>
      </c>
      <c r="AE48" s="11"/>
      <c r="AF48" s="181" t="s">
        <v>257</v>
      </c>
      <c r="AG48" s="173" t="s">
        <v>1373</v>
      </c>
      <c r="AH48" s="177"/>
      <c r="AI48" s="132"/>
      <c r="AJ48" s="8"/>
      <c r="AK48" s="8"/>
      <c r="AL48" s="8"/>
      <c r="AM48" s="87">
        <f>$K$48*'[1]Apportionment %'!H9</f>
        <v>4250000</v>
      </c>
      <c r="AN48" s="87">
        <f>$K$48*'[1]Apportionment %'!I9</f>
        <v>750000</v>
      </c>
      <c r="AO48" s="8"/>
      <c r="AP48" s="8"/>
      <c r="AQ48" s="8"/>
      <c r="AR48" s="8"/>
      <c r="AS48" s="8"/>
      <c r="AT48" s="8"/>
      <c r="AU48" s="8"/>
      <c r="AV48" s="8"/>
      <c r="AW48" s="8"/>
      <c r="AX48" s="8"/>
      <c r="AY48" s="8"/>
      <c r="AZ48" s="8"/>
      <c r="BA48" s="8"/>
      <c r="BB48" s="8"/>
      <c r="BC48" s="8"/>
      <c r="BD48" s="8"/>
      <c r="BE48" s="8"/>
      <c r="BF48" s="8"/>
      <c r="BG48" s="8"/>
      <c r="BH48" s="8"/>
      <c r="BI48" s="8"/>
      <c r="BJ48" s="8"/>
      <c r="BK48" s="288" t="b">
        <f t="shared" si="1"/>
        <v>1</v>
      </c>
      <c r="BN48" s="360">
        <f>$U48*AH48</f>
        <v>0</v>
      </c>
      <c r="BO48" s="360">
        <f>$V48*AH48</f>
        <v>0</v>
      </c>
      <c r="BP48" s="360">
        <f>$W48*AH48</f>
        <v>0</v>
      </c>
      <c r="BQ48" s="360">
        <f>$X48*AH48</f>
        <v>0</v>
      </c>
      <c r="BR48" s="360">
        <f>$Y48*AH48</f>
        <v>0</v>
      </c>
      <c r="BS48" s="360">
        <f>$Z48*AH48</f>
        <v>0</v>
      </c>
      <c r="BT48" s="360">
        <f>$U48*AI48</f>
        <v>0</v>
      </c>
      <c r="BU48" s="360">
        <f>$V48*AI48</f>
        <v>0</v>
      </c>
      <c r="BV48" s="360">
        <f>$W48*AI48</f>
        <v>0</v>
      </c>
      <c r="BW48" s="360">
        <f>$X48*AI48</f>
        <v>0</v>
      </c>
      <c r="BX48" s="360">
        <f>$Y48*AI48</f>
        <v>0</v>
      </c>
      <c r="BY48" s="360">
        <f>$Z48*AI48</f>
        <v>0</v>
      </c>
      <c r="BZ48" s="360">
        <f>$U48*AJ48</f>
        <v>0</v>
      </c>
      <c r="CA48" s="360">
        <f>$V48*AJ48</f>
        <v>0</v>
      </c>
      <c r="CB48" s="360">
        <f>$W48*AJ48</f>
        <v>0</v>
      </c>
      <c r="CC48" s="360">
        <f>$X48*AJ48</f>
        <v>0</v>
      </c>
      <c r="CD48" s="360">
        <f>$Y48*AJ48</f>
        <v>0</v>
      </c>
      <c r="CE48" s="360">
        <f>$Z48*AJ48</f>
        <v>0</v>
      </c>
      <c r="CF48" s="360">
        <f>$U48*AK48</f>
        <v>0</v>
      </c>
      <c r="CG48" s="360">
        <f>$V48*AK48</f>
        <v>0</v>
      </c>
      <c r="CH48" s="360">
        <f>$W48*AK48</f>
        <v>0</v>
      </c>
      <c r="CI48" s="360">
        <f>$X48*AK48</f>
        <v>0</v>
      </c>
      <c r="CJ48" s="360">
        <f>$Y48*AK48</f>
        <v>0</v>
      </c>
      <c r="CK48" s="360">
        <f>$Z48*AK48</f>
        <v>0</v>
      </c>
      <c r="CL48" s="360">
        <f>$U48*AL48</f>
        <v>0</v>
      </c>
      <c r="CM48" s="360">
        <f>$V48*AL48</f>
        <v>0</v>
      </c>
      <c r="CN48" s="360">
        <f>$W48*AL48</f>
        <v>0</v>
      </c>
      <c r="CO48" s="360">
        <f>$X48*AL48</f>
        <v>0</v>
      </c>
      <c r="CP48" s="360">
        <f>$Y48*AL48</f>
        <v>0</v>
      </c>
      <c r="CQ48" s="360">
        <f>$Z48*AL48</f>
        <v>0</v>
      </c>
      <c r="CR48" s="360">
        <f>$U48*AM48</f>
        <v>0</v>
      </c>
      <c r="CS48" s="360">
        <f>$V48*AM48</f>
        <v>4250000</v>
      </c>
      <c r="CT48" s="360">
        <f>$W48*AM48</f>
        <v>0</v>
      </c>
      <c r="CU48" s="360">
        <f>$X48*AM48</f>
        <v>0</v>
      </c>
      <c r="CV48" s="360">
        <f>$Y48*AM48</f>
        <v>0</v>
      </c>
      <c r="CW48" s="360">
        <f>$Z48*AM48</f>
        <v>0</v>
      </c>
      <c r="CX48" s="360">
        <f>$U48*AN48</f>
        <v>0</v>
      </c>
      <c r="CY48" s="360">
        <f>$V48*AN48</f>
        <v>750000</v>
      </c>
      <c r="CZ48" s="360">
        <f>$W48*AN48</f>
        <v>0</v>
      </c>
      <c r="DA48" s="360">
        <f>$X48*AN48</f>
        <v>0</v>
      </c>
      <c r="DB48" s="360">
        <f>$Y48*AN48</f>
        <v>0</v>
      </c>
      <c r="DC48" s="360">
        <f>$Z48*AN48</f>
        <v>0</v>
      </c>
      <c r="DD48" s="360">
        <f>$U48*AO48</f>
        <v>0</v>
      </c>
      <c r="DE48" s="360">
        <f>$V48*AO48</f>
        <v>0</v>
      </c>
      <c r="DF48" s="360">
        <f>$W48*AO48</f>
        <v>0</v>
      </c>
      <c r="DG48" s="360">
        <f>$X48*AO48</f>
        <v>0</v>
      </c>
      <c r="DH48" s="360">
        <f>$Y48*AO48</f>
        <v>0</v>
      </c>
      <c r="DI48" s="360">
        <f>$Z48*AO48</f>
        <v>0</v>
      </c>
    </row>
    <row r="49" spans="1:113" ht="28" x14ac:dyDescent="0.3">
      <c r="A49" s="55" t="s">
        <v>1573</v>
      </c>
      <c r="B49" s="139"/>
      <c r="C49" s="11" t="s">
        <v>1574</v>
      </c>
      <c r="D49" s="265" t="s">
        <v>297</v>
      </c>
      <c r="E49" s="11" t="s">
        <v>386</v>
      </c>
      <c r="F49" s="134" t="s">
        <v>386</v>
      </c>
      <c r="G49" s="118" t="s">
        <v>371</v>
      </c>
      <c r="H49" s="126"/>
      <c r="I49" s="48">
        <v>0</v>
      </c>
      <c r="J49" s="272" t="s">
        <v>371</v>
      </c>
      <c r="K49" s="118" t="s">
        <v>371</v>
      </c>
      <c r="L49" s="126"/>
      <c r="M49" s="363" t="s">
        <v>371</v>
      </c>
      <c r="N49" s="1" t="s">
        <v>421</v>
      </c>
      <c r="O49" s="10"/>
      <c r="P49" s="10"/>
      <c r="Q49" s="10"/>
      <c r="R49" s="10"/>
      <c r="S49" s="10"/>
      <c r="T49" s="218"/>
      <c r="U49" s="224"/>
      <c r="V49" s="242"/>
      <c r="W49" s="224"/>
      <c r="X49" s="223"/>
      <c r="Y49" s="223"/>
      <c r="Z49" s="225"/>
      <c r="AA49" s="131"/>
      <c r="AB49" s="11"/>
      <c r="AC49" s="11" t="s">
        <v>1009</v>
      </c>
      <c r="AD49" s="275" t="s">
        <v>346</v>
      </c>
      <c r="AE49" s="11"/>
      <c r="AF49" s="6" t="s">
        <v>232</v>
      </c>
      <c r="AG49" s="94"/>
      <c r="AH49" s="177"/>
      <c r="AI49" s="132"/>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288" t="b">
        <f t="shared" si="1"/>
        <v>0</v>
      </c>
      <c r="BN49" s="360">
        <f>$U49*AH49</f>
        <v>0</v>
      </c>
      <c r="BO49" s="360">
        <f>$V49*AH49</f>
        <v>0</v>
      </c>
      <c r="BP49" s="360">
        <f>$W49*AH49</f>
        <v>0</v>
      </c>
      <c r="BQ49" s="360">
        <f>$X49*AH49</f>
        <v>0</v>
      </c>
      <c r="BR49" s="360">
        <f>$Y49*AH49</f>
        <v>0</v>
      </c>
      <c r="BS49" s="360">
        <f>$Z49*AH49</f>
        <v>0</v>
      </c>
      <c r="BT49" s="360">
        <f>$U49*AI49</f>
        <v>0</v>
      </c>
      <c r="BU49" s="360">
        <f>$V49*AI49</f>
        <v>0</v>
      </c>
      <c r="BV49" s="360">
        <f>$W49*AI49</f>
        <v>0</v>
      </c>
      <c r="BW49" s="360">
        <f>$X49*AI49</f>
        <v>0</v>
      </c>
      <c r="BX49" s="360">
        <f>$Y49*AI49</f>
        <v>0</v>
      </c>
      <c r="BY49" s="360">
        <f>$Z49*AI49</f>
        <v>0</v>
      </c>
      <c r="BZ49" s="360">
        <f>$U49*AJ49</f>
        <v>0</v>
      </c>
      <c r="CA49" s="360">
        <f>$V49*AJ49</f>
        <v>0</v>
      </c>
      <c r="CB49" s="360">
        <f>$W49*AJ49</f>
        <v>0</v>
      </c>
      <c r="CC49" s="360">
        <f>$X49*AJ49</f>
        <v>0</v>
      </c>
      <c r="CD49" s="360">
        <f>$Y49*AJ49</f>
        <v>0</v>
      </c>
      <c r="CE49" s="360">
        <f>$Z49*AJ49</f>
        <v>0</v>
      </c>
      <c r="CF49" s="360">
        <f>$U49*AK49</f>
        <v>0</v>
      </c>
      <c r="CG49" s="360">
        <f>$V49*AK49</f>
        <v>0</v>
      </c>
      <c r="CH49" s="360">
        <f>$W49*AK49</f>
        <v>0</v>
      </c>
      <c r="CI49" s="360">
        <f>$X49*AK49</f>
        <v>0</v>
      </c>
      <c r="CJ49" s="360">
        <f>$Y49*AK49</f>
        <v>0</v>
      </c>
      <c r="CK49" s="360">
        <f>$Z49*AK49</f>
        <v>0</v>
      </c>
      <c r="CL49" s="360">
        <f>$U49*AL49</f>
        <v>0</v>
      </c>
      <c r="CM49" s="360">
        <f>$V49*AL49</f>
        <v>0</v>
      </c>
      <c r="CN49" s="360">
        <f>$W49*AL49</f>
        <v>0</v>
      </c>
      <c r="CO49" s="360">
        <f>$X49*AL49</f>
        <v>0</v>
      </c>
      <c r="CP49" s="360">
        <f>$Y49*AL49</f>
        <v>0</v>
      </c>
      <c r="CQ49" s="360">
        <f>$Z49*AL49</f>
        <v>0</v>
      </c>
      <c r="CR49" s="360">
        <f>$U49*AM49</f>
        <v>0</v>
      </c>
      <c r="CS49" s="360">
        <f>$V49*AM49</f>
        <v>0</v>
      </c>
      <c r="CT49" s="360">
        <f>$W49*AM49</f>
        <v>0</v>
      </c>
      <c r="CU49" s="360">
        <f>$X49*AM49</f>
        <v>0</v>
      </c>
      <c r="CV49" s="360">
        <f>$Y49*AM49</f>
        <v>0</v>
      </c>
      <c r="CW49" s="360">
        <f>$Z49*AM49</f>
        <v>0</v>
      </c>
      <c r="CX49" s="360">
        <f>$U49*AN49</f>
        <v>0</v>
      </c>
      <c r="CY49" s="360">
        <f>$V49*AN49</f>
        <v>0</v>
      </c>
      <c r="CZ49" s="360">
        <f>$W49*AN49</f>
        <v>0</v>
      </c>
      <c r="DA49" s="360">
        <f>$X49*AN49</f>
        <v>0</v>
      </c>
      <c r="DB49" s="360">
        <f>$Y49*AN49</f>
        <v>0</v>
      </c>
      <c r="DC49" s="360">
        <f>$Z49*AN49</f>
        <v>0</v>
      </c>
      <c r="DD49" s="360">
        <f>$U49*AO49</f>
        <v>0</v>
      </c>
      <c r="DE49" s="360">
        <f>$V49*AO49</f>
        <v>0</v>
      </c>
      <c r="DF49" s="360">
        <f>$W49*AO49</f>
        <v>0</v>
      </c>
      <c r="DG49" s="360">
        <f>$X49*AO49</f>
        <v>0</v>
      </c>
      <c r="DH49" s="360">
        <f>$Y49*AO49</f>
        <v>0</v>
      </c>
      <c r="DI49" s="360">
        <f>$Z49*AO49</f>
        <v>0</v>
      </c>
    </row>
    <row r="50" spans="1:113" s="4" customFormat="1" x14ac:dyDescent="0.3">
      <c r="B50" s="58"/>
      <c r="G50" s="353">
        <f>SUM(G2:G49)</f>
        <v>45821730</v>
      </c>
      <c r="H50" s="5"/>
      <c r="I50" s="353">
        <f>SUM(I2:I49)</f>
        <v>0</v>
      </c>
      <c r="J50" s="353">
        <f>SUM(J2:J49)</f>
        <v>45821730</v>
      </c>
      <c r="K50" s="353">
        <f>SUM(K2:K49)</f>
        <v>43396730</v>
      </c>
      <c r="L50" s="353"/>
      <c r="M50" s="353">
        <f>SUM(M2:M49)</f>
        <v>2425000</v>
      </c>
      <c r="U50" s="231"/>
      <c r="V50" s="231"/>
      <c r="W50" s="231"/>
      <c r="X50" s="231"/>
      <c r="Y50" s="231"/>
      <c r="Z50" s="231"/>
      <c r="AG50" s="352" t="s">
        <v>15</v>
      </c>
      <c r="AH50" s="353">
        <f t="shared" ref="AH50:BI50" si="244">SUM(AH2:AH49)</f>
        <v>1315370</v>
      </c>
      <c r="AI50" s="353">
        <f t="shared" si="244"/>
        <v>11428720</v>
      </c>
      <c r="AJ50" s="353">
        <f t="shared" si="244"/>
        <v>1852710</v>
      </c>
      <c r="AK50" s="353">
        <f t="shared" si="244"/>
        <v>1371477.2497661368</v>
      </c>
      <c r="AL50" s="353">
        <f t="shared" si="244"/>
        <v>2262002.7502338639</v>
      </c>
      <c r="AM50" s="353">
        <f t="shared" si="244"/>
        <v>17105650</v>
      </c>
      <c r="AN50" s="353">
        <f t="shared" si="244"/>
        <v>3019950</v>
      </c>
      <c r="AO50" s="353">
        <f t="shared" si="244"/>
        <v>2856628.1604184834</v>
      </c>
      <c r="AP50" s="353">
        <f t="shared" si="244"/>
        <v>307636.87881429819</v>
      </c>
      <c r="AQ50" s="353">
        <f t="shared" si="244"/>
        <v>303242.0662598082</v>
      </c>
      <c r="AR50" s="353">
        <f t="shared" si="244"/>
        <v>184582.12728857889</v>
      </c>
      <c r="AS50" s="353">
        <f t="shared" si="244"/>
        <v>158213.25196163906</v>
      </c>
      <c r="AT50" s="353">
        <f t="shared" si="244"/>
        <v>153818.4394071491</v>
      </c>
      <c r="AU50" s="353">
        <f t="shared" si="244"/>
        <v>153818.4394071491</v>
      </c>
      <c r="AV50" s="353">
        <f t="shared" si="244"/>
        <v>153818.4394071491</v>
      </c>
      <c r="AW50" s="353">
        <f t="shared" si="244"/>
        <v>101080.68875326939</v>
      </c>
      <c r="AX50" s="353">
        <f t="shared" si="244"/>
        <v>87896.25108979948</v>
      </c>
      <c r="AY50" s="353">
        <f t="shared" si="244"/>
        <v>70317.000871839584</v>
      </c>
      <c r="AZ50" s="353">
        <f t="shared" si="244"/>
        <v>70317.000871839584</v>
      </c>
      <c r="BA50" s="353">
        <f t="shared" si="244"/>
        <v>65922.188317349603</v>
      </c>
      <c r="BB50" s="353">
        <f t="shared" si="244"/>
        <v>57132.563208369662</v>
      </c>
      <c r="BC50" s="353">
        <f t="shared" si="244"/>
        <v>52737.750653879695</v>
      </c>
      <c r="BD50" s="353">
        <f t="shared" si="244"/>
        <v>43948.12554489974</v>
      </c>
      <c r="BE50" s="353">
        <f t="shared" si="244"/>
        <v>43948.12554489974</v>
      </c>
      <c r="BF50" s="353">
        <f t="shared" si="244"/>
        <v>43948.12554489974</v>
      </c>
      <c r="BG50" s="353">
        <f t="shared" si="244"/>
        <v>43948.12554489974</v>
      </c>
      <c r="BH50" s="353">
        <f t="shared" si="244"/>
        <v>43948.12554489974</v>
      </c>
      <c r="BI50" s="353">
        <f t="shared" si="244"/>
        <v>43948.12554489974</v>
      </c>
      <c r="BJ50" s="353">
        <f>SUM(BJ28:BJ49)</f>
        <v>0</v>
      </c>
      <c r="BM50" s="352" t="s">
        <v>15</v>
      </c>
      <c r="BN50" s="353">
        <f t="shared" ref="BN50:DI50" si="245">SUM(BN2:BN49)</f>
        <v>0</v>
      </c>
      <c r="BO50" s="353">
        <f t="shared" si="245"/>
        <v>438456.66666666669</v>
      </c>
      <c r="BP50" s="353">
        <f t="shared" si="245"/>
        <v>876913.33333333337</v>
      </c>
      <c r="BQ50" s="353">
        <f t="shared" si="245"/>
        <v>0</v>
      </c>
      <c r="BR50" s="353">
        <f t="shared" si="245"/>
        <v>0</v>
      </c>
      <c r="BS50" s="353">
        <f t="shared" si="245"/>
        <v>0</v>
      </c>
      <c r="BT50" s="353">
        <f t="shared" si="245"/>
        <v>3296746.153846154</v>
      </c>
      <c r="BU50" s="353">
        <f t="shared" si="245"/>
        <v>5055010.769230769</v>
      </c>
      <c r="BV50" s="353">
        <f t="shared" si="245"/>
        <v>3076963.076923077</v>
      </c>
      <c r="BW50" s="353">
        <f t="shared" si="245"/>
        <v>0</v>
      </c>
      <c r="BX50" s="353">
        <f t="shared" si="245"/>
        <v>0</v>
      </c>
      <c r="BY50" s="353">
        <f t="shared" si="245"/>
        <v>0</v>
      </c>
      <c r="BZ50" s="353">
        <f t="shared" si="245"/>
        <v>88224.28571428571</v>
      </c>
      <c r="CA50" s="353">
        <f t="shared" si="245"/>
        <v>882242.85714285728</v>
      </c>
      <c r="CB50" s="353">
        <f t="shared" si="245"/>
        <v>882242.85714285728</v>
      </c>
      <c r="CC50" s="353">
        <f t="shared" si="245"/>
        <v>0</v>
      </c>
      <c r="CD50" s="353">
        <f t="shared" si="245"/>
        <v>0</v>
      </c>
      <c r="CE50" s="353">
        <f t="shared" si="245"/>
        <v>0</v>
      </c>
      <c r="CF50" s="353">
        <f t="shared" si="245"/>
        <v>65308.440465054126</v>
      </c>
      <c r="CG50" s="353">
        <f t="shared" si="245"/>
        <v>653084.40465054126</v>
      </c>
      <c r="CH50" s="353">
        <f t="shared" si="245"/>
        <v>653084.40465054126</v>
      </c>
      <c r="CI50" s="353">
        <f t="shared" si="245"/>
        <v>0</v>
      </c>
      <c r="CJ50" s="353">
        <f t="shared" si="245"/>
        <v>0</v>
      </c>
      <c r="CK50" s="353">
        <f t="shared" si="245"/>
        <v>0</v>
      </c>
      <c r="CL50" s="353">
        <f t="shared" si="245"/>
        <v>107714.41667780302</v>
      </c>
      <c r="CM50" s="353">
        <f t="shared" si="245"/>
        <v>1077144.1667780301</v>
      </c>
      <c r="CN50" s="353">
        <f t="shared" si="245"/>
        <v>1077144.1667780301</v>
      </c>
      <c r="CO50" s="353">
        <f t="shared" si="245"/>
        <v>0</v>
      </c>
      <c r="CP50" s="353">
        <f t="shared" si="245"/>
        <v>0</v>
      </c>
      <c r="CQ50" s="353">
        <f t="shared" si="245"/>
        <v>0</v>
      </c>
      <c r="CR50" s="353">
        <f t="shared" si="245"/>
        <v>328197.18235294119</v>
      </c>
      <c r="CS50" s="353">
        <f t="shared" si="245"/>
        <v>5509853.7000000002</v>
      </c>
      <c r="CT50" s="353">
        <f t="shared" si="245"/>
        <v>1512429.4117647058</v>
      </c>
      <c r="CU50" s="353">
        <f t="shared" si="245"/>
        <v>1512429.4117647058</v>
      </c>
      <c r="CV50" s="353">
        <f t="shared" si="245"/>
        <v>2268644.1176470593</v>
      </c>
      <c r="CW50" s="353">
        <f t="shared" si="245"/>
        <v>5974096.1764705889</v>
      </c>
      <c r="CX50" s="353">
        <f t="shared" si="245"/>
        <v>0</v>
      </c>
      <c r="CY50" s="353">
        <f t="shared" si="245"/>
        <v>1506650</v>
      </c>
      <c r="CZ50" s="353">
        <f t="shared" si="245"/>
        <v>756649.99999999988</v>
      </c>
      <c r="DA50" s="353">
        <f t="shared" si="245"/>
        <v>756649.99999999988</v>
      </c>
      <c r="DB50" s="353">
        <f t="shared" si="245"/>
        <v>0</v>
      </c>
      <c r="DC50" s="353">
        <f t="shared" si="245"/>
        <v>0</v>
      </c>
      <c r="DD50" s="353">
        <f t="shared" si="245"/>
        <v>513047.42898535967</v>
      </c>
      <c r="DE50" s="353">
        <f t="shared" si="245"/>
        <v>301353.10149140062</v>
      </c>
      <c r="DF50" s="353">
        <f t="shared" si="245"/>
        <v>2042227.6299417228</v>
      </c>
      <c r="DG50" s="353">
        <f t="shared" si="245"/>
        <v>0</v>
      </c>
      <c r="DH50" s="353">
        <f t="shared" si="245"/>
        <v>0</v>
      </c>
      <c r="DI50" s="353">
        <f t="shared" si="245"/>
        <v>0</v>
      </c>
    </row>
    <row r="51" spans="1:113" s="4" customFormat="1" x14ac:dyDescent="0.3">
      <c r="B51" s="58"/>
      <c r="K51" s="58"/>
      <c r="U51" s="231"/>
      <c r="V51" s="231"/>
      <c r="W51" s="231"/>
      <c r="X51" s="231"/>
      <c r="Y51" s="231"/>
      <c r="Z51" s="231"/>
    </row>
    <row r="52" spans="1:113" s="4" customFormat="1" x14ac:dyDescent="0.3">
      <c r="K52" s="58"/>
      <c r="U52" s="231"/>
      <c r="V52" s="231"/>
      <c r="W52" s="231"/>
      <c r="X52" s="231"/>
      <c r="Y52" s="231"/>
      <c r="Z52" s="231"/>
      <c r="AG52" s="352" t="s">
        <v>433</v>
      </c>
      <c r="AH52" s="355">
        <f t="shared" ref="AH52:BJ52" si="246">AH50*0.2</f>
        <v>263074</v>
      </c>
      <c r="AI52" s="355">
        <f t="shared" si="246"/>
        <v>2285744</v>
      </c>
      <c r="AJ52" s="355">
        <f t="shared" si="246"/>
        <v>370542</v>
      </c>
      <c r="AK52" s="355">
        <f t="shared" si="246"/>
        <v>274295.44995322736</v>
      </c>
      <c r="AL52" s="355">
        <f t="shared" si="246"/>
        <v>452400.55004677281</v>
      </c>
      <c r="AM52" s="355">
        <f t="shared" si="246"/>
        <v>3421130</v>
      </c>
      <c r="AN52" s="355">
        <f t="shared" si="246"/>
        <v>603990</v>
      </c>
      <c r="AO52" s="355">
        <f t="shared" si="246"/>
        <v>571325.63208369666</v>
      </c>
      <c r="AP52" s="355">
        <f t="shared" si="246"/>
        <v>61527.375762859643</v>
      </c>
      <c r="AQ52" s="355">
        <f t="shared" si="246"/>
        <v>60648.41325196164</v>
      </c>
      <c r="AR52" s="355">
        <f t="shared" si="246"/>
        <v>36916.425457715777</v>
      </c>
      <c r="AS52" s="355">
        <f t="shared" si="246"/>
        <v>31642.650392327814</v>
      </c>
      <c r="AT52" s="355">
        <f t="shared" si="246"/>
        <v>30763.687881429822</v>
      </c>
      <c r="AU52" s="355">
        <f t="shared" si="246"/>
        <v>30763.687881429822</v>
      </c>
      <c r="AV52" s="355">
        <f t="shared" si="246"/>
        <v>30763.687881429822</v>
      </c>
      <c r="AW52" s="355">
        <f t="shared" si="246"/>
        <v>20216.137750653881</v>
      </c>
      <c r="AX52" s="355">
        <f t="shared" si="246"/>
        <v>17579.250217959896</v>
      </c>
      <c r="AY52" s="355">
        <f t="shared" si="246"/>
        <v>14063.400174367918</v>
      </c>
      <c r="AZ52" s="355">
        <f t="shared" si="246"/>
        <v>14063.400174367918</v>
      </c>
      <c r="BA52" s="355">
        <f t="shared" si="246"/>
        <v>13184.437663469922</v>
      </c>
      <c r="BB52" s="355">
        <f t="shared" si="246"/>
        <v>11426.512641673933</v>
      </c>
      <c r="BC52" s="355">
        <f t="shared" si="246"/>
        <v>10547.55013077594</v>
      </c>
      <c r="BD52" s="355">
        <f t="shared" si="246"/>
        <v>8789.625108979948</v>
      </c>
      <c r="BE52" s="355">
        <f t="shared" si="246"/>
        <v>8789.625108979948</v>
      </c>
      <c r="BF52" s="355">
        <f t="shared" si="246"/>
        <v>8789.625108979948</v>
      </c>
      <c r="BG52" s="355">
        <f t="shared" si="246"/>
        <v>8789.625108979948</v>
      </c>
      <c r="BH52" s="355">
        <f t="shared" si="246"/>
        <v>8789.625108979948</v>
      </c>
      <c r="BI52" s="355">
        <f t="shared" si="246"/>
        <v>8789.625108979948</v>
      </c>
      <c r="BJ52" s="355">
        <f t="shared" si="246"/>
        <v>0</v>
      </c>
      <c r="BM52" s="352" t="s">
        <v>433</v>
      </c>
      <c r="BN52" s="355">
        <f t="shared" ref="BN52:DI52" si="247">BN50*0.2</f>
        <v>0</v>
      </c>
      <c r="BO52" s="355">
        <f t="shared" si="247"/>
        <v>87691.333333333343</v>
      </c>
      <c r="BP52" s="355">
        <f t="shared" si="247"/>
        <v>175382.66666666669</v>
      </c>
      <c r="BQ52" s="355">
        <f t="shared" si="247"/>
        <v>0</v>
      </c>
      <c r="BR52" s="355">
        <f t="shared" si="247"/>
        <v>0</v>
      </c>
      <c r="BS52" s="355">
        <f t="shared" si="247"/>
        <v>0</v>
      </c>
      <c r="BT52" s="355">
        <f t="shared" si="247"/>
        <v>659349.23076923087</v>
      </c>
      <c r="BU52" s="355">
        <f t="shared" si="247"/>
        <v>1011002.1538461539</v>
      </c>
      <c r="BV52" s="355">
        <f t="shared" si="247"/>
        <v>615392.61538461538</v>
      </c>
      <c r="BW52" s="355">
        <f t="shared" si="247"/>
        <v>0</v>
      </c>
      <c r="BX52" s="355">
        <f t="shared" si="247"/>
        <v>0</v>
      </c>
      <c r="BY52" s="355">
        <f t="shared" si="247"/>
        <v>0</v>
      </c>
      <c r="BZ52" s="355">
        <f t="shared" si="247"/>
        <v>17644.857142857141</v>
      </c>
      <c r="CA52" s="355">
        <f t="shared" si="247"/>
        <v>176448.57142857148</v>
      </c>
      <c r="CB52" s="355">
        <f t="shared" si="247"/>
        <v>176448.57142857148</v>
      </c>
      <c r="CC52" s="355">
        <f t="shared" si="247"/>
        <v>0</v>
      </c>
      <c r="CD52" s="355">
        <f t="shared" si="247"/>
        <v>0</v>
      </c>
      <c r="CE52" s="355">
        <f t="shared" si="247"/>
        <v>0</v>
      </c>
      <c r="CF52" s="355">
        <f t="shared" si="247"/>
        <v>13061.688093010825</v>
      </c>
      <c r="CG52" s="355">
        <f t="shared" si="247"/>
        <v>130616.88093010825</v>
      </c>
      <c r="CH52" s="355">
        <f t="shared" si="247"/>
        <v>130616.88093010825</v>
      </c>
      <c r="CI52" s="355">
        <f t="shared" si="247"/>
        <v>0</v>
      </c>
      <c r="CJ52" s="355">
        <f t="shared" si="247"/>
        <v>0</v>
      </c>
      <c r="CK52" s="355">
        <f t="shared" si="247"/>
        <v>0</v>
      </c>
      <c r="CL52" s="355">
        <f t="shared" si="247"/>
        <v>21542.883335560604</v>
      </c>
      <c r="CM52" s="355">
        <f t="shared" si="247"/>
        <v>215428.83335560604</v>
      </c>
      <c r="CN52" s="355">
        <f t="shared" si="247"/>
        <v>215428.83335560604</v>
      </c>
      <c r="CO52" s="355">
        <f t="shared" si="247"/>
        <v>0</v>
      </c>
      <c r="CP52" s="355">
        <f t="shared" si="247"/>
        <v>0</v>
      </c>
      <c r="CQ52" s="355">
        <f t="shared" si="247"/>
        <v>0</v>
      </c>
      <c r="CR52" s="355">
        <f t="shared" si="247"/>
        <v>65639.436470588247</v>
      </c>
      <c r="CS52" s="355">
        <f t="shared" si="247"/>
        <v>1101970.74</v>
      </c>
      <c r="CT52" s="355">
        <f t="shared" si="247"/>
        <v>302485.88235294115</v>
      </c>
      <c r="CU52" s="355">
        <f t="shared" si="247"/>
        <v>302485.88235294115</v>
      </c>
      <c r="CV52" s="355">
        <f t="shared" si="247"/>
        <v>453728.82352941186</v>
      </c>
      <c r="CW52" s="355">
        <f t="shared" si="247"/>
        <v>1194819.2352941178</v>
      </c>
      <c r="CX52" s="355">
        <f t="shared" si="247"/>
        <v>0</v>
      </c>
      <c r="CY52" s="355">
        <f t="shared" si="247"/>
        <v>301330</v>
      </c>
      <c r="CZ52" s="355">
        <f t="shared" si="247"/>
        <v>151329.99999999997</v>
      </c>
      <c r="DA52" s="355">
        <f t="shared" si="247"/>
        <v>151329.99999999997</v>
      </c>
      <c r="DB52" s="355">
        <f t="shared" si="247"/>
        <v>0</v>
      </c>
      <c r="DC52" s="355">
        <f t="shared" si="247"/>
        <v>0</v>
      </c>
      <c r="DD52" s="355">
        <f t="shared" si="247"/>
        <v>102609.48579707195</v>
      </c>
      <c r="DE52" s="355">
        <f t="shared" si="247"/>
        <v>60270.620298280126</v>
      </c>
      <c r="DF52" s="355">
        <f t="shared" si="247"/>
        <v>408445.52598834457</v>
      </c>
      <c r="DG52" s="355">
        <f t="shared" si="247"/>
        <v>0</v>
      </c>
      <c r="DH52" s="355">
        <f t="shared" si="247"/>
        <v>0</v>
      </c>
      <c r="DI52" s="355">
        <f t="shared" si="247"/>
        <v>0</v>
      </c>
    </row>
    <row r="53" spans="1:113" s="4" customFormat="1" x14ac:dyDescent="0.3">
      <c r="K53" s="58"/>
      <c r="U53" s="231"/>
      <c r="V53" s="231"/>
      <c r="W53" s="231"/>
      <c r="X53" s="231"/>
      <c r="Y53" s="231"/>
      <c r="Z53" s="231"/>
    </row>
    <row r="54" spans="1:113" s="4" customFormat="1" ht="14.5" thickBot="1" x14ac:dyDescent="0.35">
      <c r="K54" s="58"/>
      <c r="U54" s="231"/>
      <c r="V54" s="231"/>
      <c r="W54" s="231"/>
      <c r="X54" s="231"/>
      <c r="Y54" s="231"/>
      <c r="Z54" s="231"/>
      <c r="AG54" s="352" t="s">
        <v>434</v>
      </c>
      <c r="AH54" s="110">
        <f>SUM(AH50:AH52)</f>
        <v>1578444</v>
      </c>
      <c r="AI54" s="110">
        <f t="shared" ref="AI54:BJ54" si="248">SUM(AI50:AI52)</f>
        <v>13714464</v>
      </c>
      <c r="AJ54" s="110">
        <f t="shared" si="248"/>
        <v>2223252</v>
      </c>
      <c r="AK54" s="110">
        <f t="shared" si="248"/>
        <v>1645772.6997193641</v>
      </c>
      <c r="AL54" s="110">
        <f t="shared" si="248"/>
        <v>2714403.3002806366</v>
      </c>
      <c r="AM54" s="110">
        <f t="shared" si="248"/>
        <v>20526780</v>
      </c>
      <c r="AN54" s="110">
        <f t="shared" si="248"/>
        <v>3623940</v>
      </c>
      <c r="AO54" s="110">
        <f t="shared" si="248"/>
        <v>3427953.7925021802</v>
      </c>
      <c r="AP54" s="110">
        <f t="shared" si="248"/>
        <v>369164.25457715784</v>
      </c>
      <c r="AQ54" s="110">
        <f t="shared" si="248"/>
        <v>363890.47951176984</v>
      </c>
      <c r="AR54" s="110">
        <f t="shared" si="248"/>
        <v>221498.55274629468</v>
      </c>
      <c r="AS54" s="110">
        <f t="shared" si="248"/>
        <v>189855.90235396687</v>
      </c>
      <c r="AT54" s="110">
        <f t="shared" si="248"/>
        <v>184582.12728857892</v>
      </c>
      <c r="AU54" s="110">
        <f t="shared" si="248"/>
        <v>184582.12728857892</v>
      </c>
      <c r="AV54" s="110">
        <f t="shared" si="248"/>
        <v>184582.12728857892</v>
      </c>
      <c r="AW54" s="110">
        <f t="shared" si="248"/>
        <v>121296.82650392328</v>
      </c>
      <c r="AX54" s="110">
        <f t="shared" si="248"/>
        <v>105475.50130775938</v>
      </c>
      <c r="AY54" s="110">
        <f t="shared" si="248"/>
        <v>84380.401046207495</v>
      </c>
      <c r="AZ54" s="110">
        <f t="shared" si="248"/>
        <v>84380.401046207495</v>
      </c>
      <c r="BA54" s="110">
        <f t="shared" si="248"/>
        <v>79106.625980819517</v>
      </c>
      <c r="BB54" s="110">
        <f t="shared" si="248"/>
        <v>68559.075850043591</v>
      </c>
      <c r="BC54" s="110">
        <f t="shared" si="248"/>
        <v>63285.300784655636</v>
      </c>
      <c r="BD54" s="110">
        <f t="shared" si="248"/>
        <v>52737.750653879688</v>
      </c>
      <c r="BE54" s="110">
        <f t="shared" si="248"/>
        <v>52737.750653879688</v>
      </c>
      <c r="BF54" s="110">
        <f t="shared" si="248"/>
        <v>52737.750653879688</v>
      </c>
      <c r="BG54" s="110">
        <f t="shared" si="248"/>
        <v>52737.750653879688</v>
      </c>
      <c r="BH54" s="110">
        <f t="shared" si="248"/>
        <v>52737.750653879688</v>
      </c>
      <c r="BI54" s="110">
        <f t="shared" si="248"/>
        <v>52737.750653879688</v>
      </c>
      <c r="BJ54" s="110">
        <f t="shared" si="248"/>
        <v>0</v>
      </c>
      <c r="BM54" s="352" t="s">
        <v>434</v>
      </c>
      <c r="BN54" s="110">
        <f>SUM(BN50:BN52)</f>
        <v>0</v>
      </c>
      <c r="BO54" s="110">
        <f t="shared" ref="BO54:DI54" si="249">SUM(BO50:BO52)</f>
        <v>526148</v>
      </c>
      <c r="BP54" s="110">
        <f t="shared" si="249"/>
        <v>1052296</v>
      </c>
      <c r="BQ54" s="110">
        <f t="shared" si="249"/>
        <v>0</v>
      </c>
      <c r="BR54" s="110">
        <f t="shared" si="249"/>
        <v>0</v>
      </c>
      <c r="BS54" s="110">
        <f t="shared" si="249"/>
        <v>0</v>
      </c>
      <c r="BT54" s="110">
        <f t="shared" si="249"/>
        <v>3956095.384615385</v>
      </c>
      <c r="BU54" s="110">
        <f t="shared" si="249"/>
        <v>6066012.923076923</v>
      </c>
      <c r="BV54" s="110">
        <f t="shared" si="249"/>
        <v>3692355.6923076925</v>
      </c>
      <c r="BW54" s="110">
        <f t="shared" si="249"/>
        <v>0</v>
      </c>
      <c r="BX54" s="110">
        <f t="shared" si="249"/>
        <v>0</v>
      </c>
      <c r="BY54" s="110">
        <f t="shared" si="249"/>
        <v>0</v>
      </c>
      <c r="BZ54" s="110">
        <f t="shared" si="249"/>
        <v>105869.14285714286</v>
      </c>
      <c r="CA54" s="110">
        <f t="shared" si="249"/>
        <v>1058691.4285714286</v>
      </c>
      <c r="CB54" s="110">
        <f t="shared" si="249"/>
        <v>1058691.4285714286</v>
      </c>
      <c r="CC54" s="110">
        <f t="shared" si="249"/>
        <v>0</v>
      </c>
      <c r="CD54" s="110">
        <f t="shared" si="249"/>
        <v>0</v>
      </c>
      <c r="CE54" s="110">
        <f t="shared" si="249"/>
        <v>0</v>
      </c>
      <c r="CF54" s="110">
        <f t="shared" si="249"/>
        <v>78370.128558064956</v>
      </c>
      <c r="CG54" s="110">
        <f t="shared" si="249"/>
        <v>783701.28558064951</v>
      </c>
      <c r="CH54" s="110">
        <f t="shared" si="249"/>
        <v>783701.28558064951</v>
      </c>
      <c r="CI54" s="110">
        <f t="shared" si="249"/>
        <v>0</v>
      </c>
      <c r="CJ54" s="110">
        <f t="shared" si="249"/>
        <v>0</v>
      </c>
      <c r="CK54" s="110">
        <f t="shared" si="249"/>
        <v>0</v>
      </c>
      <c r="CL54" s="110">
        <f t="shared" si="249"/>
        <v>129257.30001336362</v>
      </c>
      <c r="CM54" s="110">
        <f t="shared" si="249"/>
        <v>1292573.0001336362</v>
      </c>
      <c r="CN54" s="110">
        <f t="shared" si="249"/>
        <v>1292573.0001336362</v>
      </c>
      <c r="CO54" s="110">
        <f t="shared" si="249"/>
        <v>0</v>
      </c>
      <c r="CP54" s="110">
        <f t="shared" si="249"/>
        <v>0</v>
      </c>
      <c r="CQ54" s="110">
        <f t="shared" si="249"/>
        <v>0</v>
      </c>
      <c r="CR54" s="110">
        <f t="shared" si="249"/>
        <v>393836.61882352945</v>
      </c>
      <c r="CS54" s="110">
        <f t="shared" si="249"/>
        <v>6611824.4400000004</v>
      </c>
      <c r="CT54" s="110">
        <f t="shared" si="249"/>
        <v>1814915.294117647</v>
      </c>
      <c r="CU54" s="110">
        <f t="shared" si="249"/>
        <v>1814915.294117647</v>
      </c>
      <c r="CV54" s="110">
        <f t="shared" si="249"/>
        <v>2722372.9411764713</v>
      </c>
      <c r="CW54" s="110">
        <f t="shared" si="249"/>
        <v>7168915.4117647065</v>
      </c>
      <c r="CX54" s="110">
        <f t="shared" si="249"/>
        <v>0</v>
      </c>
      <c r="CY54" s="110">
        <f t="shared" si="249"/>
        <v>1807980</v>
      </c>
      <c r="CZ54" s="110">
        <f t="shared" si="249"/>
        <v>907979.99999999988</v>
      </c>
      <c r="DA54" s="110">
        <f t="shared" si="249"/>
        <v>907979.99999999988</v>
      </c>
      <c r="DB54" s="110">
        <f t="shared" si="249"/>
        <v>0</v>
      </c>
      <c r="DC54" s="110">
        <f t="shared" si="249"/>
        <v>0</v>
      </c>
      <c r="DD54" s="110">
        <f t="shared" si="249"/>
        <v>615656.91478243168</v>
      </c>
      <c r="DE54" s="110">
        <f t="shared" si="249"/>
        <v>361623.72178968077</v>
      </c>
      <c r="DF54" s="110">
        <f t="shared" si="249"/>
        <v>2450673.1559300674</v>
      </c>
      <c r="DG54" s="110">
        <f t="shared" si="249"/>
        <v>0</v>
      </c>
      <c r="DH54" s="110">
        <f t="shared" si="249"/>
        <v>0</v>
      </c>
      <c r="DI54" s="110">
        <f t="shared" si="249"/>
        <v>0</v>
      </c>
    </row>
    <row r="55" spans="1:113" s="348" customFormat="1" ht="14.5" thickTop="1" x14ac:dyDescent="0.35">
      <c r="B55" s="407"/>
      <c r="G55" s="408"/>
      <c r="H55" s="409"/>
      <c r="I55" s="408"/>
      <c r="J55" s="408"/>
      <c r="K55" s="408"/>
      <c r="L55" s="408"/>
      <c r="M55" s="408"/>
      <c r="BS55" s="351">
        <f>SUM(BN54:BS54)</f>
        <v>1578444</v>
      </c>
      <c r="BY55" s="351">
        <f>SUM(BT54:BY54)</f>
        <v>13714464</v>
      </c>
      <c r="CE55" s="351">
        <f>SUM(BZ54:CE54)</f>
        <v>2223252</v>
      </c>
      <c r="CK55" s="351">
        <f>SUM(CF54:CK54)</f>
        <v>1645772.6997193638</v>
      </c>
      <c r="CQ55" s="351">
        <f>SUM(CL54:CQ54)</f>
        <v>2714403.3002806362</v>
      </c>
      <c r="CW55" s="351">
        <f>SUM(CR54:CW54)</f>
        <v>20526780</v>
      </c>
      <c r="DC55" s="351">
        <f>SUM(CX54:DC54)</f>
        <v>3623940</v>
      </c>
      <c r="DI55" s="351">
        <f>SUM(DD54:DI54)</f>
        <v>3427953.7925021797</v>
      </c>
    </row>
    <row r="56" spans="1:113" s="348" customFormat="1" x14ac:dyDescent="0.35">
      <c r="B56" s="407"/>
      <c r="G56" s="408"/>
      <c r="H56" s="409"/>
      <c r="I56" s="408"/>
      <c r="J56" s="408"/>
      <c r="K56" s="408"/>
      <c r="L56" s="408"/>
      <c r="M56" s="408"/>
      <c r="BS56" s="350" t="b">
        <f>BS55=AH54</f>
        <v>1</v>
      </c>
      <c r="BY56" s="350" t="b">
        <f>BY55=AI54</f>
        <v>1</v>
      </c>
      <c r="CE56" s="350" t="b">
        <f>CE55=AJ54</f>
        <v>1</v>
      </c>
      <c r="CK56" s="350" t="b">
        <f>CK55=AK54</f>
        <v>1</v>
      </c>
      <c r="CQ56" s="350" t="b">
        <f>CQ55=AL54</f>
        <v>1</v>
      </c>
      <c r="CW56" s="350" t="b">
        <f>CW55=AM54</f>
        <v>1</v>
      </c>
      <c r="DC56" s="350" t="b">
        <f>DC55=AN54</f>
        <v>1</v>
      </c>
      <c r="DI56" s="350" t="b">
        <f>DI55=AO54</f>
        <v>1</v>
      </c>
    </row>
    <row r="57" spans="1:113" s="348" customFormat="1" x14ac:dyDescent="0.35">
      <c r="B57" s="407"/>
      <c r="G57" s="408"/>
      <c r="H57" s="409"/>
      <c r="I57" s="408"/>
      <c r="J57" s="408"/>
      <c r="K57" s="408"/>
      <c r="L57" s="408"/>
      <c r="M57" s="408"/>
      <c r="U57" s="232"/>
      <c r="V57" s="232"/>
      <c r="W57" s="232"/>
      <c r="X57" s="232"/>
      <c r="Y57" s="232"/>
      <c r="Z57" s="232"/>
      <c r="AH57" s="278">
        <f>AH52/AH50</f>
        <v>0.2</v>
      </c>
      <c r="AI57" s="278">
        <f t="shared" ref="AI57:AN57" si="250">AI52/AI50</f>
        <v>0.2</v>
      </c>
      <c r="AJ57" s="278">
        <f t="shared" si="250"/>
        <v>0.2</v>
      </c>
      <c r="AK57" s="278">
        <f t="shared" si="250"/>
        <v>0.2</v>
      </c>
      <c r="AL57" s="278">
        <f t="shared" si="250"/>
        <v>0.2</v>
      </c>
      <c r="AM57" s="278">
        <f t="shared" si="250"/>
        <v>0.2</v>
      </c>
      <c r="AN57" s="278">
        <f t="shared" si="250"/>
        <v>0.2</v>
      </c>
    </row>
    <row r="58" spans="1:113" s="348" customFormat="1" x14ac:dyDescent="0.35">
      <c r="B58" s="407"/>
      <c r="G58" s="408"/>
      <c r="H58" s="409"/>
      <c r="I58" s="408"/>
      <c r="J58" s="408"/>
      <c r="K58" s="408"/>
      <c r="L58" s="408"/>
      <c r="M58" s="408"/>
      <c r="U58" s="232"/>
      <c r="V58" s="232"/>
      <c r="W58" s="232"/>
      <c r="X58" s="232"/>
      <c r="Y58" s="232"/>
      <c r="Z58" s="232"/>
    </row>
    <row r="59" spans="1:113" s="348" customFormat="1" x14ac:dyDescent="0.35">
      <c r="B59" s="407"/>
      <c r="G59" s="408"/>
      <c r="H59" s="409"/>
      <c r="I59" s="408"/>
      <c r="J59" s="408"/>
      <c r="K59" s="408"/>
      <c r="L59" s="408"/>
      <c r="M59" s="408"/>
      <c r="U59" s="232"/>
      <c r="V59" s="232"/>
      <c r="W59" s="232"/>
      <c r="X59" s="232"/>
      <c r="Y59" s="232"/>
      <c r="Z59" s="232"/>
    </row>
    <row r="60" spans="1:113" s="348" customFormat="1" x14ac:dyDescent="0.35">
      <c r="B60" s="407"/>
      <c r="G60" s="408"/>
      <c r="H60" s="409"/>
      <c r="I60" s="408"/>
      <c r="J60" s="408"/>
      <c r="K60" s="408"/>
      <c r="L60" s="408"/>
      <c r="M60" s="408"/>
      <c r="U60" s="232"/>
      <c r="V60" s="232"/>
      <c r="W60" s="232"/>
      <c r="X60" s="232"/>
      <c r="Y60" s="232"/>
      <c r="Z60" s="232"/>
    </row>
    <row r="61" spans="1:113" s="348" customFormat="1" x14ac:dyDescent="0.35">
      <c r="B61" s="407"/>
      <c r="G61" s="408"/>
      <c r="H61" s="409"/>
      <c r="I61" s="408"/>
      <c r="J61" s="408"/>
      <c r="K61" s="408"/>
      <c r="L61" s="408"/>
      <c r="M61" s="408"/>
      <c r="U61" s="232"/>
      <c r="V61" s="232"/>
      <c r="W61" s="232"/>
      <c r="X61" s="232"/>
      <c r="Y61" s="232"/>
      <c r="Z61" s="232"/>
    </row>
    <row r="62" spans="1:113" s="348" customFormat="1" x14ac:dyDescent="0.35">
      <c r="B62" s="407"/>
      <c r="G62" s="408"/>
      <c r="H62" s="409"/>
      <c r="I62" s="408"/>
      <c r="J62" s="408"/>
      <c r="K62" s="408"/>
      <c r="L62" s="408"/>
      <c r="M62" s="408"/>
      <c r="U62" s="232"/>
      <c r="V62" s="232"/>
      <c r="W62" s="232"/>
      <c r="X62" s="232"/>
      <c r="Y62" s="232"/>
      <c r="Z62" s="232"/>
    </row>
    <row r="63" spans="1:113" s="348" customFormat="1" x14ac:dyDescent="0.35">
      <c r="B63" s="407"/>
      <c r="G63" s="408"/>
      <c r="H63" s="409"/>
      <c r="I63" s="408"/>
      <c r="J63" s="408"/>
      <c r="K63" s="408"/>
      <c r="L63" s="408"/>
      <c r="M63" s="408"/>
      <c r="U63" s="232"/>
      <c r="V63" s="232"/>
      <c r="W63" s="232"/>
      <c r="X63" s="232"/>
      <c r="Y63" s="232"/>
      <c r="Z63" s="232"/>
    </row>
    <row r="64" spans="1:113" s="348" customFormat="1" x14ac:dyDescent="0.35">
      <c r="B64" s="407"/>
      <c r="G64" s="408"/>
      <c r="H64" s="409"/>
      <c r="I64" s="408"/>
      <c r="J64" s="408"/>
      <c r="K64" s="408"/>
      <c r="L64" s="408"/>
      <c r="M64" s="408"/>
      <c r="U64" s="232"/>
      <c r="V64" s="232"/>
      <c r="W64" s="232"/>
      <c r="X64" s="232"/>
      <c r="Y64" s="232"/>
      <c r="Z64" s="232"/>
    </row>
    <row r="65" spans="2:113" s="348" customFormat="1" x14ac:dyDescent="0.35">
      <c r="B65" s="407"/>
      <c r="G65" s="408"/>
      <c r="H65" s="409"/>
      <c r="I65" s="408"/>
      <c r="J65" s="408"/>
      <c r="K65" s="408"/>
      <c r="L65" s="408"/>
      <c r="M65" s="408"/>
      <c r="U65" s="232"/>
      <c r="V65" s="232"/>
      <c r="W65" s="232"/>
      <c r="X65" s="232"/>
      <c r="Y65" s="232"/>
      <c r="Z65" s="232"/>
    </row>
    <row r="66" spans="2:113" s="348" customFormat="1" x14ac:dyDescent="0.35">
      <c r="B66" s="407"/>
      <c r="G66" s="408"/>
      <c r="H66" s="409"/>
      <c r="I66" s="408"/>
      <c r="J66" s="408"/>
      <c r="K66" s="408"/>
      <c r="L66" s="408"/>
      <c r="M66" s="408"/>
      <c r="U66" s="232"/>
      <c r="V66" s="232"/>
      <c r="W66" s="232"/>
      <c r="X66" s="232"/>
      <c r="Y66" s="232"/>
      <c r="Z66" s="232"/>
    </row>
    <row r="67" spans="2:113" s="348" customFormat="1" x14ac:dyDescent="0.35">
      <c r="B67" s="407"/>
      <c r="G67" s="408"/>
      <c r="H67" s="409"/>
      <c r="I67" s="408"/>
      <c r="J67" s="408"/>
      <c r="K67" s="408"/>
      <c r="L67" s="408"/>
      <c r="M67" s="408"/>
      <c r="U67" s="232"/>
      <c r="V67" s="232"/>
      <c r="W67" s="232"/>
      <c r="X67" s="232"/>
      <c r="Y67" s="232"/>
      <c r="Z67" s="232"/>
    </row>
    <row r="68" spans="2:113" s="348" customFormat="1" x14ac:dyDescent="0.35">
      <c r="B68" s="407"/>
      <c r="G68" s="408"/>
      <c r="H68" s="409"/>
      <c r="I68" s="408"/>
      <c r="J68" s="408"/>
      <c r="K68" s="408"/>
      <c r="L68" s="408"/>
      <c r="M68" s="408"/>
      <c r="U68" s="232"/>
      <c r="V68" s="232"/>
      <c r="W68" s="232"/>
      <c r="X68" s="232"/>
      <c r="Y68" s="232"/>
      <c r="Z68" s="232"/>
    </row>
    <row r="69" spans="2:113" s="348" customFormat="1" x14ac:dyDescent="0.35">
      <c r="B69" s="407"/>
      <c r="G69" s="408"/>
      <c r="H69" s="409"/>
      <c r="I69" s="408"/>
      <c r="J69" s="408"/>
      <c r="K69" s="408"/>
      <c r="L69" s="408"/>
      <c r="M69" s="408"/>
      <c r="U69" s="232"/>
      <c r="V69" s="232"/>
      <c r="W69" s="232"/>
      <c r="X69" s="232"/>
      <c r="Y69" s="232"/>
      <c r="Z69" s="232"/>
    </row>
    <row r="70" spans="2:113" s="348" customFormat="1" x14ac:dyDescent="0.35">
      <c r="B70" s="407"/>
      <c r="G70" s="408"/>
      <c r="H70" s="409"/>
      <c r="I70" s="408"/>
      <c r="J70" s="408"/>
      <c r="K70" s="408"/>
      <c r="L70" s="408"/>
      <c r="M70" s="408"/>
      <c r="U70" s="232"/>
      <c r="V70" s="232"/>
      <c r="W70" s="232"/>
      <c r="X70" s="232"/>
      <c r="Y70" s="232"/>
      <c r="Z70" s="232"/>
    </row>
    <row r="71" spans="2:113" s="348" customFormat="1" x14ac:dyDescent="0.35">
      <c r="B71" s="407"/>
      <c r="G71" s="408"/>
      <c r="H71" s="409"/>
      <c r="I71" s="408"/>
      <c r="J71" s="408"/>
      <c r="K71" s="408"/>
      <c r="L71" s="408"/>
      <c r="M71" s="408"/>
      <c r="U71" s="232"/>
      <c r="V71" s="232"/>
      <c r="W71" s="232"/>
      <c r="X71" s="232"/>
      <c r="Y71" s="232"/>
      <c r="Z71" s="232"/>
    </row>
    <row r="72" spans="2:113" s="348" customFormat="1" x14ac:dyDescent="0.35">
      <c r="B72" s="407"/>
      <c r="G72" s="408"/>
      <c r="H72" s="409"/>
      <c r="I72" s="408"/>
      <c r="J72" s="408"/>
      <c r="K72" s="408"/>
      <c r="L72" s="408"/>
      <c r="M72" s="408"/>
      <c r="U72" s="232"/>
      <c r="V72" s="232"/>
      <c r="W72" s="232"/>
      <c r="X72" s="232"/>
      <c r="Y72" s="232"/>
      <c r="Z72" s="232"/>
    </row>
    <row r="73" spans="2:113" s="348" customFormat="1" x14ac:dyDescent="0.35">
      <c r="B73" s="407"/>
      <c r="G73" s="408"/>
      <c r="H73" s="409"/>
      <c r="I73" s="408"/>
      <c r="J73" s="408"/>
      <c r="K73" s="408"/>
      <c r="L73" s="408"/>
      <c r="M73" s="408"/>
      <c r="U73" s="232"/>
      <c r="V73" s="232"/>
      <c r="W73" s="232"/>
      <c r="X73" s="232"/>
      <c r="Y73" s="232"/>
      <c r="Z73" s="232"/>
    </row>
    <row r="74" spans="2:113" s="348" customFormat="1" x14ac:dyDescent="0.35">
      <c r="B74" s="407"/>
      <c r="G74" s="408"/>
      <c r="H74" s="409"/>
      <c r="I74" s="408"/>
      <c r="J74" s="408"/>
      <c r="K74" s="408"/>
      <c r="L74" s="408"/>
      <c r="M74" s="408"/>
      <c r="U74" s="232"/>
      <c r="V74" s="232"/>
      <c r="W74" s="232"/>
      <c r="X74" s="232"/>
      <c r="Y74" s="232"/>
      <c r="Z74" s="232"/>
    </row>
    <row r="75" spans="2:113" x14ac:dyDescent="0.3">
      <c r="U75" s="232"/>
      <c r="V75" s="232"/>
      <c r="W75" s="232"/>
      <c r="X75" s="232"/>
      <c r="Y75" s="232"/>
      <c r="Z75" s="232"/>
      <c r="AH75" s="291"/>
      <c r="AI75" s="291"/>
      <c r="AJ75" s="291"/>
      <c r="AK75" s="291"/>
      <c r="AL75" s="291"/>
      <c r="AM75" s="291"/>
      <c r="AN75" s="291"/>
      <c r="AO75" s="291"/>
      <c r="AP75" s="291"/>
      <c r="AQ75" s="291"/>
      <c r="AR75" s="291"/>
      <c r="AS75" s="291"/>
      <c r="AT75" s="291"/>
      <c r="AU75" s="291"/>
      <c r="AV75" s="291"/>
      <c r="AW75" s="291"/>
      <c r="AX75" s="291"/>
      <c r="AY75" s="291"/>
      <c r="AZ75" s="291"/>
      <c r="BA75" s="291"/>
      <c r="BB75" s="291"/>
      <c r="BC75" s="291"/>
      <c r="BD75" s="291"/>
      <c r="BE75" s="291"/>
      <c r="BF75" s="291"/>
      <c r="BG75" s="291"/>
      <c r="BH75" s="291"/>
      <c r="BI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row>
    <row r="76" spans="2:113" x14ac:dyDescent="0.3">
      <c r="U76" s="232"/>
      <c r="V76" s="232"/>
      <c r="W76" s="232"/>
      <c r="X76" s="232"/>
      <c r="Y76" s="232"/>
      <c r="Z76" s="232"/>
      <c r="AH76" s="291"/>
      <c r="AI76" s="291"/>
      <c r="AJ76" s="291"/>
      <c r="AK76" s="291"/>
      <c r="AL76" s="291"/>
      <c r="AM76" s="291"/>
      <c r="AN76" s="291"/>
      <c r="AO76" s="291"/>
      <c r="AP76" s="291"/>
      <c r="AQ76" s="291"/>
      <c r="AR76" s="291"/>
      <c r="AS76" s="291"/>
      <c r="AT76" s="291"/>
      <c r="AU76" s="291"/>
      <c r="AV76" s="291"/>
      <c r="AW76" s="291"/>
      <c r="AX76" s="291"/>
      <c r="AY76" s="291"/>
      <c r="AZ76" s="291"/>
      <c r="BA76" s="291"/>
      <c r="BB76" s="291"/>
      <c r="BC76" s="291"/>
      <c r="BD76" s="291"/>
      <c r="BE76" s="291"/>
      <c r="BF76" s="291"/>
      <c r="BG76" s="291"/>
      <c r="BH76" s="291"/>
      <c r="BI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row>
    <row r="77" spans="2:113" x14ac:dyDescent="0.3">
      <c r="U77" s="232"/>
      <c r="V77" s="232"/>
      <c r="W77" s="232"/>
      <c r="X77" s="232"/>
      <c r="Y77" s="232"/>
      <c r="Z77" s="232"/>
      <c r="AH77" s="291"/>
      <c r="AI77" s="291"/>
      <c r="AJ77" s="291"/>
      <c r="AK77" s="291"/>
      <c r="AL77" s="291"/>
      <c r="AM77" s="291"/>
      <c r="AN77" s="291"/>
      <c r="AO77" s="291"/>
      <c r="AP77" s="291"/>
      <c r="AQ77" s="291"/>
      <c r="AR77" s="291"/>
      <c r="AS77" s="291"/>
      <c r="AT77" s="291"/>
      <c r="AU77" s="291"/>
      <c r="AV77" s="291"/>
      <c r="AW77" s="291"/>
      <c r="AX77" s="291"/>
      <c r="AY77" s="291"/>
      <c r="AZ77" s="291"/>
      <c r="BA77" s="291"/>
      <c r="BB77" s="291"/>
      <c r="BC77" s="291"/>
      <c r="BD77" s="291"/>
      <c r="BE77" s="291"/>
      <c r="BF77" s="291"/>
      <c r="BG77" s="291"/>
      <c r="BH77" s="291"/>
      <c r="BI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row>
    <row r="78" spans="2:113" x14ac:dyDescent="0.3">
      <c r="U78" s="232"/>
      <c r="V78" s="232"/>
      <c r="W78" s="232"/>
      <c r="X78" s="232"/>
      <c r="Y78" s="232"/>
      <c r="Z78" s="232"/>
      <c r="AH78" s="291"/>
      <c r="AI78" s="291"/>
      <c r="AJ78" s="291"/>
      <c r="AK78" s="291"/>
      <c r="AL78" s="291"/>
      <c r="AM78" s="291"/>
      <c r="AN78" s="291"/>
      <c r="AO78" s="291"/>
      <c r="AP78" s="291"/>
      <c r="AQ78" s="291"/>
      <c r="AR78" s="291"/>
      <c r="AS78" s="291"/>
      <c r="AT78" s="291"/>
      <c r="AU78" s="291"/>
      <c r="AV78" s="291"/>
      <c r="AW78" s="291"/>
      <c r="AX78" s="291"/>
      <c r="AY78" s="291"/>
      <c r="AZ78" s="291"/>
      <c r="BA78" s="291"/>
      <c r="BB78" s="291"/>
      <c r="BC78" s="291"/>
      <c r="BD78" s="291"/>
      <c r="BE78" s="291"/>
      <c r="BF78" s="291"/>
      <c r="BG78" s="291"/>
      <c r="BH78" s="291"/>
      <c r="BI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row>
    <row r="79" spans="2:113" x14ac:dyDescent="0.3">
      <c r="U79" s="232"/>
      <c r="V79" s="232"/>
      <c r="W79" s="232"/>
      <c r="X79" s="232"/>
      <c r="Y79" s="232"/>
      <c r="Z79" s="232"/>
      <c r="AH79" s="291"/>
      <c r="AI79" s="291"/>
      <c r="AJ79" s="291"/>
      <c r="AK79" s="291"/>
      <c r="AL79" s="291"/>
      <c r="AM79" s="291"/>
      <c r="AN79" s="291"/>
      <c r="AO79" s="291"/>
      <c r="AP79" s="291"/>
      <c r="AQ79" s="291"/>
      <c r="AR79" s="291"/>
      <c r="AS79" s="291"/>
      <c r="AT79" s="291"/>
      <c r="AU79" s="291"/>
      <c r="AV79" s="291"/>
      <c r="AW79" s="291"/>
      <c r="AX79" s="291"/>
      <c r="AY79" s="291"/>
      <c r="AZ79" s="291"/>
      <c r="BA79" s="291"/>
      <c r="BB79" s="291"/>
      <c r="BC79" s="291"/>
      <c r="BD79" s="291"/>
      <c r="BE79" s="291"/>
      <c r="BF79" s="291"/>
      <c r="BG79" s="291"/>
      <c r="BH79" s="291"/>
      <c r="BI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row>
    <row r="80" spans="2:113" x14ac:dyDescent="0.3">
      <c r="U80" s="232"/>
      <c r="V80" s="232"/>
      <c r="W80" s="232"/>
      <c r="X80" s="232"/>
      <c r="Y80" s="232"/>
      <c r="Z80" s="232"/>
      <c r="AH80" s="291"/>
      <c r="AI80" s="291"/>
      <c r="AJ80" s="291"/>
      <c r="AK80" s="291"/>
      <c r="AL80" s="291"/>
      <c r="AM80" s="291"/>
      <c r="AN80" s="291"/>
      <c r="AO80" s="291"/>
      <c r="AP80" s="291"/>
      <c r="AQ80" s="291"/>
      <c r="AR80" s="291"/>
      <c r="AS80" s="291"/>
      <c r="AT80" s="291"/>
      <c r="AU80" s="291"/>
      <c r="AV80" s="291"/>
      <c r="AW80" s="291"/>
      <c r="AX80" s="291"/>
      <c r="AY80" s="291"/>
      <c r="AZ80" s="291"/>
      <c r="BA80" s="291"/>
      <c r="BB80" s="291"/>
      <c r="BC80" s="291"/>
      <c r="BD80" s="291"/>
      <c r="BE80" s="291"/>
      <c r="BF80" s="291"/>
      <c r="BG80" s="291"/>
      <c r="BH80" s="291"/>
      <c r="BI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row>
    <row r="81" spans="21:113" x14ac:dyDescent="0.3">
      <c r="U81" s="232"/>
      <c r="V81" s="232"/>
      <c r="W81" s="232"/>
      <c r="X81" s="232"/>
      <c r="Y81" s="232"/>
      <c r="Z81" s="232"/>
      <c r="AH81" s="291"/>
      <c r="AI81" s="291"/>
      <c r="AJ81" s="291"/>
      <c r="AK81" s="291"/>
      <c r="AL81" s="291"/>
      <c r="AM81" s="291"/>
      <c r="AN81" s="291"/>
      <c r="AO81" s="291"/>
      <c r="AP81" s="291"/>
      <c r="AQ81" s="291"/>
      <c r="AR81" s="291"/>
      <c r="AS81" s="291"/>
      <c r="AT81" s="291"/>
      <c r="AU81" s="291"/>
      <c r="AV81" s="291"/>
      <c r="AW81" s="291"/>
      <c r="AX81" s="291"/>
      <c r="AY81" s="291"/>
      <c r="AZ81" s="291"/>
      <c r="BA81" s="291"/>
      <c r="BB81" s="291"/>
      <c r="BC81" s="291"/>
      <c r="BD81" s="291"/>
      <c r="BE81" s="291"/>
      <c r="BF81" s="291"/>
      <c r="BG81" s="291"/>
      <c r="BH81" s="291"/>
      <c r="BI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row>
    <row r="82" spans="21:113" x14ac:dyDescent="0.3">
      <c r="U82" s="232"/>
      <c r="V82" s="232"/>
      <c r="W82" s="232"/>
      <c r="X82" s="232"/>
      <c r="Y82" s="232"/>
      <c r="Z82" s="232"/>
      <c r="AH82" s="291"/>
      <c r="AI82" s="291"/>
      <c r="AJ82" s="291"/>
      <c r="AK82" s="291"/>
      <c r="AL82" s="291"/>
      <c r="AM82" s="291"/>
      <c r="AN82" s="291"/>
      <c r="AO82" s="291"/>
      <c r="AP82" s="291"/>
      <c r="AQ82" s="291"/>
      <c r="AR82" s="291"/>
      <c r="AS82" s="291"/>
      <c r="AT82" s="291"/>
      <c r="AU82" s="291"/>
      <c r="AV82" s="291"/>
      <c r="AW82" s="291"/>
      <c r="AX82" s="291"/>
      <c r="AY82" s="291"/>
      <c r="AZ82" s="291"/>
      <c r="BA82" s="291"/>
      <c r="BB82" s="291"/>
      <c r="BC82" s="291"/>
      <c r="BD82" s="291"/>
      <c r="BE82" s="291"/>
      <c r="BF82" s="291"/>
      <c r="BG82" s="291"/>
      <c r="BH82" s="291"/>
      <c r="BI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row>
    <row r="83" spans="21:113" x14ac:dyDescent="0.3">
      <c r="U83" s="232"/>
      <c r="V83" s="232"/>
      <c r="W83" s="232"/>
      <c r="X83" s="232"/>
      <c r="Y83" s="232"/>
      <c r="Z83" s="232"/>
      <c r="AH83" s="291"/>
      <c r="AI83" s="291"/>
      <c r="AJ83" s="291"/>
      <c r="AK83" s="291"/>
      <c r="AL83" s="291"/>
      <c r="AM83" s="291"/>
      <c r="AN83" s="291"/>
      <c r="AO83" s="291"/>
      <c r="AP83" s="291"/>
      <c r="AQ83" s="291"/>
      <c r="AR83" s="291"/>
      <c r="AS83" s="291"/>
      <c r="AT83" s="291"/>
      <c r="AU83" s="291"/>
      <c r="AV83" s="291"/>
      <c r="AW83" s="291"/>
      <c r="AX83" s="291"/>
      <c r="AY83" s="291"/>
      <c r="AZ83" s="291"/>
      <c r="BA83" s="291"/>
      <c r="BB83" s="291"/>
      <c r="BC83" s="291"/>
      <c r="BD83" s="291"/>
      <c r="BE83" s="291"/>
      <c r="BF83" s="291"/>
      <c r="BG83" s="291"/>
      <c r="BH83" s="291"/>
      <c r="BI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row>
    <row r="84" spans="21:113" x14ac:dyDescent="0.3">
      <c r="U84" s="232"/>
      <c r="V84" s="232"/>
      <c r="W84" s="232"/>
      <c r="X84" s="232"/>
      <c r="Y84" s="232"/>
      <c r="Z84" s="232"/>
      <c r="AH84" s="291"/>
      <c r="AI84" s="291"/>
      <c r="AJ84" s="291"/>
      <c r="AK84" s="291"/>
      <c r="AL84" s="291"/>
      <c r="AM84" s="291"/>
      <c r="AN84" s="291"/>
      <c r="AO84" s="291"/>
      <c r="AP84" s="291"/>
      <c r="AQ84" s="291"/>
      <c r="AR84" s="291"/>
      <c r="AS84" s="291"/>
      <c r="AT84" s="291"/>
      <c r="AU84" s="291"/>
      <c r="AV84" s="291"/>
      <c r="AW84" s="291"/>
      <c r="AX84" s="291"/>
      <c r="AY84" s="291"/>
      <c r="AZ84" s="291"/>
      <c r="BA84" s="291"/>
      <c r="BB84" s="291"/>
      <c r="BC84" s="291"/>
      <c r="BD84" s="291"/>
      <c r="BE84" s="291"/>
      <c r="BF84" s="291"/>
      <c r="BG84" s="291"/>
      <c r="BH84" s="291"/>
      <c r="BI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row>
    <row r="85" spans="21:113" x14ac:dyDescent="0.3">
      <c r="U85" s="232"/>
      <c r="V85" s="232"/>
      <c r="W85" s="232"/>
      <c r="X85" s="232"/>
      <c r="Y85" s="232"/>
      <c r="Z85" s="232"/>
      <c r="AH85" s="291"/>
      <c r="AI85" s="291"/>
      <c r="AJ85" s="291"/>
      <c r="AK85" s="291"/>
      <c r="AL85" s="291"/>
      <c r="AM85" s="291"/>
      <c r="AN85" s="291"/>
      <c r="AO85" s="291"/>
      <c r="AP85" s="291"/>
      <c r="AQ85" s="291"/>
      <c r="AR85" s="291"/>
      <c r="AS85" s="291"/>
      <c r="AT85" s="291"/>
      <c r="AU85" s="291"/>
      <c r="AV85" s="291"/>
      <c r="AW85" s="291"/>
      <c r="AX85" s="291"/>
      <c r="AY85" s="291"/>
      <c r="AZ85" s="291"/>
      <c r="BA85" s="291"/>
      <c r="BB85" s="291"/>
      <c r="BC85" s="291"/>
      <c r="BD85" s="291"/>
      <c r="BE85" s="291"/>
      <c r="BF85" s="291"/>
      <c r="BG85" s="291"/>
      <c r="BH85" s="291"/>
      <c r="BI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row>
    <row r="86" spans="21:113" x14ac:dyDescent="0.3">
      <c r="U86" s="232"/>
      <c r="V86" s="232"/>
      <c r="W86" s="232"/>
      <c r="X86" s="232"/>
      <c r="Y86" s="232"/>
      <c r="Z86" s="232"/>
      <c r="AH86" s="291"/>
      <c r="AI86" s="291"/>
      <c r="AJ86" s="291"/>
      <c r="AK86" s="291"/>
      <c r="AL86" s="291"/>
      <c r="AM86" s="291"/>
      <c r="AN86" s="291"/>
      <c r="AO86" s="291"/>
      <c r="AP86" s="291"/>
      <c r="AQ86" s="291"/>
      <c r="AR86" s="291"/>
      <c r="AS86" s="291"/>
      <c r="AT86" s="291"/>
      <c r="AU86" s="291"/>
      <c r="AV86" s="291"/>
      <c r="AW86" s="291"/>
      <c r="AX86" s="291"/>
      <c r="AY86" s="291"/>
      <c r="AZ86" s="291"/>
      <c r="BA86" s="291"/>
      <c r="BB86" s="291"/>
      <c r="BC86" s="291"/>
      <c r="BD86" s="291"/>
      <c r="BE86" s="291"/>
      <c r="BF86" s="291"/>
      <c r="BG86" s="291"/>
      <c r="BH86" s="291"/>
      <c r="BI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row>
    <row r="87" spans="21:113" x14ac:dyDescent="0.3">
      <c r="U87" s="232"/>
      <c r="V87" s="232"/>
      <c r="W87" s="232"/>
      <c r="X87" s="232"/>
      <c r="Y87" s="232"/>
      <c r="Z87" s="232"/>
      <c r="AH87" s="291"/>
      <c r="AI87" s="291"/>
      <c r="AJ87" s="291"/>
      <c r="AK87" s="291"/>
      <c r="AL87" s="291"/>
      <c r="AM87" s="291"/>
      <c r="AN87" s="291"/>
      <c r="AO87" s="291"/>
      <c r="AP87" s="291"/>
      <c r="AQ87" s="291"/>
      <c r="AR87" s="291"/>
      <c r="AS87" s="291"/>
      <c r="AT87" s="291"/>
      <c r="AU87" s="291"/>
      <c r="AV87" s="291"/>
      <c r="AW87" s="291"/>
      <c r="AX87" s="291"/>
      <c r="AY87" s="291"/>
      <c r="AZ87" s="291"/>
      <c r="BA87" s="291"/>
      <c r="BB87" s="291"/>
      <c r="BC87" s="291"/>
      <c r="BD87" s="291"/>
      <c r="BE87" s="291"/>
      <c r="BF87" s="291"/>
      <c r="BG87" s="291"/>
      <c r="BH87" s="291"/>
      <c r="BI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row>
    <row r="88" spans="21:113" x14ac:dyDescent="0.3">
      <c r="U88" s="232"/>
      <c r="V88" s="232"/>
      <c r="W88" s="232"/>
      <c r="X88" s="232"/>
      <c r="Y88" s="232"/>
      <c r="Z88" s="232"/>
      <c r="AH88" s="291"/>
      <c r="AI88" s="291"/>
      <c r="AJ88" s="291"/>
      <c r="AK88" s="291"/>
      <c r="AL88" s="291"/>
      <c r="AM88" s="291"/>
      <c r="AN88" s="291"/>
      <c r="AO88" s="291"/>
      <c r="AP88" s="291"/>
      <c r="AQ88" s="291"/>
      <c r="AR88" s="291"/>
      <c r="AS88" s="291"/>
      <c r="AT88" s="291"/>
      <c r="AU88" s="291"/>
      <c r="AV88" s="291"/>
      <c r="AW88" s="291"/>
      <c r="AX88" s="291"/>
      <c r="AY88" s="291"/>
      <c r="AZ88" s="291"/>
      <c r="BA88" s="291"/>
      <c r="BB88" s="291"/>
      <c r="BC88" s="291"/>
      <c r="BD88" s="291"/>
      <c r="BE88" s="291"/>
      <c r="BF88" s="291"/>
      <c r="BG88" s="291"/>
      <c r="BH88" s="291"/>
      <c r="BI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row>
    <row r="89" spans="21:113" x14ac:dyDescent="0.3">
      <c r="U89" s="232"/>
      <c r="V89" s="232"/>
      <c r="W89" s="232"/>
      <c r="X89" s="232"/>
      <c r="Y89" s="232"/>
      <c r="Z89" s="232"/>
      <c r="AH89" s="291"/>
      <c r="AI89" s="291"/>
      <c r="AJ89" s="291"/>
      <c r="AK89" s="291"/>
      <c r="AL89" s="291"/>
      <c r="AM89" s="291"/>
      <c r="AN89" s="291"/>
      <c r="AO89" s="291"/>
      <c r="AP89" s="291"/>
      <c r="AQ89" s="291"/>
      <c r="AR89" s="291"/>
      <c r="AS89" s="291"/>
      <c r="AT89" s="291"/>
      <c r="AU89" s="291"/>
      <c r="AV89" s="291"/>
      <c r="AW89" s="291"/>
      <c r="AX89" s="291"/>
      <c r="AY89" s="291"/>
      <c r="AZ89" s="291"/>
      <c r="BA89" s="291"/>
      <c r="BB89" s="291"/>
      <c r="BC89" s="291"/>
      <c r="BD89" s="291"/>
      <c r="BE89" s="291"/>
      <c r="BF89" s="291"/>
      <c r="BG89" s="291"/>
      <c r="BH89" s="291"/>
      <c r="BI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row>
    <row r="90" spans="21:113" x14ac:dyDescent="0.3">
      <c r="AH90" s="291"/>
      <c r="AI90" s="291"/>
      <c r="AJ90" s="291"/>
      <c r="AK90" s="291"/>
      <c r="AL90" s="291"/>
      <c r="AM90" s="291"/>
      <c r="AN90" s="291"/>
      <c r="AO90" s="291"/>
      <c r="AP90" s="291"/>
      <c r="AQ90" s="291"/>
      <c r="AR90" s="291"/>
      <c r="AS90" s="291"/>
      <c r="AT90" s="291"/>
      <c r="AU90" s="291"/>
      <c r="AV90" s="291"/>
      <c r="AW90" s="291"/>
      <c r="AX90" s="291"/>
      <c r="AY90" s="291"/>
      <c r="AZ90" s="291"/>
      <c r="BA90" s="291"/>
      <c r="BB90" s="291"/>
      <c r="BC90" s="291"/>
      <c r="BD90" s="291"/>
      <c r="BE90" s="291"/>
      <c r="BF90" s="291"/>
      <c r="BG90" s="291"/>
      <c r="BH90" s="291"/>
      <c r="BI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row>
    <row r="91" spans="21:113" x14ac:dyDescent="0.3">
      <c r="AH91" s="291"/>
      <c r="AI91" s="291"/>
      <c r="AJ91" s="291"/>
      <c r="AK91" s="291"/>
      <c r="AL91" s="291"/>
      <c r="AM91" s="291"/>
      <c r="AN91" s="291"/>
      <c r="AO91" s="291"/>
      <c r="AP91" s="291"/>
      <c r="AQ91" s="291"/>
      <c r="AR91" s="291"/>
      <c r="AS91" s="291"/>
      <c r="AT91" s="291"/>
      <c r="AU91" s="291"/>
      <c r="AV91" s="291"/>
      <c r="AW91" s="291"/>
      <c r="AX91" s="291"/>
      <c r="AY91" s="291"/>
      <c r="AZ91" s="291"/>
      <c r="BA91" s="291"/>
      <c r="BB91" s="291"/>
      <c r="BC91" s="291"/>
      <c r="BD91" s="291"/>
      <c r="BE91" s="291"/>
      <c r="BF91" s="291"/>
      <c r="BG91" s="291"/>
      <c r="BH91" s="291"/>
      <c r="BI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row>
    <row r="92" spans="21:113" x14ac:dyDescent="0.3">
      <c r="AH92" s="291"/>
      <c r="AI92" s="291"/>
      <c r="AJ92" s="291"/>
      <c r="AK92" s="291"/>
      <c r="AL92" s="291"/>
      <c r="AM92" s="291"/>
      <c r="AN92" s="291"/>
      <c r="AO92" s="291"/>
      <c r="AP92" s="291"/>
      <c r="AQ92" s="291"/>
      <c r="AR92" s="291"/>
      <c r="AS92" s="291"/>
      <c r="AT92" s="291"/>
      <c r="AU92" s="291"/>
      <c r="AV92" s="291"/>
      <c r="AW92" s="291"/>
      <c r="AX92" s="291"/>
      <c r="AY92" s="291"/>
      <c r="AZ92" s="291"/>
      <c r="BA92" s="291"/>
      <c r="BB92" s="291"/>
      <c r="BC92" s="291"/>
      <c r="BD92" s="291"/>
      <c r="BE92" s="291"/>
      <c r="BF92" s="291"/>
      <c r="BG92" s="291"/>
      <c r="BH92" s="291"/>
      <c r="BI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row>
    <row r="93" spans="21:113" x14ac:dyDescent="0.3">
      <c r="AH93" s="291"/>
      <c r="AI93" s="291"/>
      <c r="AJ93" s="291"/>
      <c r="AK93" s="291"/>
      <c r="AL93" s="291"/>
      <c r="AM93" s="291"/>
      <c r="AN93" s="291"/>
      <c r="AO93" s="291"/>
      <c r="AP93" s="291"/>
      <c r="AQ93" s="291"/>
      <c r="AR93" s="291"/>
      <c r="AS93" s="291"/>
      <c r="AT93" s="291"/>
      <c r="AU93" s="291"/>
      <c r="AV93" s="291"/>
      <c r="AW93" s="291"/>
      <c r="AX93" s="291"/>
      <c r="AY93" s="291"/>
      <c r="AZ93" s="291"/>
      <c r="BA93" s="291"/>
      <c r="BB93" s="291"/>
      <c r="BC93" s="291"/>
      <c r="BD93" s="291"/>
      <c r="BE93" s="291"/>
      <c r="BF93" s="291"/>
      <c r="BG93" s="291"/>
      <c r="BH93" s="291"/>
      <c r="BI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row>
    <row r="94" spans="21:113" x14ac:dyDescent="0.3">
      <c r="AH94" s="291"/>
      <c r="AI94" s="291"/>
      <c r="AJ94" s="291"/>
      <c r="AK94" s="291"/>
      <c r="AL94" s="291"/>
      <c r="AM94" s="291"/>
      <c r="AN94" s="291"/>
      <c r="AO94" s="291"/>
      <c r="AP94" s="291"/>
      <c r="AQ94" s="291"/>
      <c r="AR94" s="291"/>
      <c r="AS94" s="291"/>
      <c r="AT94" s="291"/>
      <c r="AU94" s="291"/>
      <c r="AV94" s="291"/>
      <c r="AW94" s="291"/>
      <c r="AX94" s="291"/>
      <c r="AY94" s="291"/>
      <c r="AZ94" s="291"/>
      <c r="BA94" s="291"/>
      <c r="BB94" s="291"/>
      <c r="BC94" s="291"/>
      <c r="BD94" s="291"/>
      <c r="BE94" s="291"/>
      <c r="BF94" s="291"/>
      <c r="BG94" s="291"/>
      <c r="BH94" s="291"/>
      <c r="BI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row>
    <row r="95" spans="21:113" x14ac:dyDescent="0.3">
      <c r="AH95" s="291"/>
      <c r="AI95" s="291"/>
      <c r="AJ95" s="291"/>
      <c r="AK95" s="291"/>
      <c r="AL95" s="291"/>
      <c r="AM95" s="291"/>
      <c r="AN95" s="291"/>
      <c r="AO95" s="291"/>
      <c r="AP95" s="291"/>
      <c r="AQ95" s="291"/>
      <c r="AR95" s="291"/>
      <c r="AS95" s="291"/>
      <c r="AT95" s="291"/>
      <c r="AU95" s="291"/>
      <c r="AV95" s="291"/>
      <c r="AW95" s="291"/>
      <c r="AX95" s="291"/>
      <c r="AY95" s="291"/>
      <c r="AZ95" s="291"/>
      <c r="BA95" s="291"/>
      <c r="BB95" s="291"/>
      <c r="BC95" s="291"/>
      <c r="BD95" s="291"/>
      <c r="BE95" s="291"/>
      <c r="BF95" s="291"/>
      <c r="BG95" s="291"/>
      <c r="BH95" s="291"/>
      <c r="BI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row>
    <row r="96" spans="21:113" x14ac:dyDescent="0.3">
      <c r="AH96" s="291"/>
      <c r="AI96" s="291"/>
      <c r="AJ96" s="291"/>
      <c r="AK96" s="291"/>
      <c r="AL96" s="291"/>
      <c r="AM96" s="291"/>
      <c r="AN96" s="291"/>
      <c r="AO96" s="291"/>
      <c r="AP96" s="291"/>
      <c r="AQ96" s="291"/>
      <c r="AR96" s="291"/>
      <c r="AS96" s="291"/>
      <c r="AT96" s="291"/>
      <c r="AU96" s="291"/>
      <c r="AV96" s="291"/>
      <c r="AW96" s="291"/>
      <c r="AX96" s="291"/>
      <c r="AY96" s="291"/>
      <c r="AZ96" s="291"/>
      <c r="BA96" s="291"/>
      <c r="BB96" s="291"/>
      <c r="BC96" s="291"/>
      <c r="BD96" s="291"/>
      <c r="BE96" s="291"/>
      <c r="BF96" s="291"/>
      <c r="BG96" s="291"/>
      <c r="BH96" s="291"/>
      <c r="BI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row>
    <row r="97" spans="34:113" x14ac:dyDescent="0.3">
      <c r="AH97" s="291"/>
      <c r="AI97" s="291"/>
      <c r="AJ97" s="291"/>
      <c r="AK97" s="291"/>
      <c r="AL97" s="291"/>
      <c r="AM97" s="291"/>
      <c r="AN97" s="291"/>
      <c r="AO97" s="291"/>
      <c r="AP97" s="291"/>
      <c r="AQ97" s="291"/>
      <c r="AR97" s="291"/>
      <c r="AS97" s="291"/>
      <c r="AT97" s="291"/>
      <c r="AU97" s="291"/>
      <c r="AV97" s="291"/>
      <c r="AW97" s="291"/>
      <c r="AX97" s="291"/>
      <c r="AY97" s="291"/>
      <c r="AZ97" s="291"/>
      <c r="BA97" s="291"/>
      <c r="BB97" s="291"/>
      <c r="BC97" s="291"/>
      <c r="BD97" s="291"/>
      <c r="BE97" s="291"/>
      <c r="BF97" s="291"/>
      <c r="BG97" s="291"/>
      <c r="BH97" s="291"/>
      <c r="BI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row>
    <row r="98" spans="34:113" x14ac:dyDescent="0.3">
      <c r="AH98" s="291"/>
      <c r="AI98" s="291"/>
      <c r="AJ98" s="291"/>
      <c r="AK98" s="291"/>
      <c r="AL98" s="291"/>
      <c r="AM98" s="291"/>
      <c r="AN98" s="291"/>
      <c r="AO98" s="291"/>
      <c r="AP98" s="291"/>
      <c r="AQ98" s="291"/>
      <c r="AR98" s="291"/>
      <c r="AS98" s="291"/>
      <c r="AT98" s="291"/>
      <c r="AU98" s="291"/>
      <c r="AV98" s="291"/>
      <c r="AW98" s="291"/>
      <c r="AX98" s="291"/>
      <c r="AY98" s="291"/>
      <c r="AZ98" s="291"/>
      <c r="BA98" s="291"/>
      <c r="BB98" s="291"/>
      <c r="BC98" s="291"/>
      <c r="BD98" s="291"/>
      <c r="BE98" s="291"/>
      <c r="BF98" s="291"/>
      <c r="BG98" s="291"/>
      <c r="BH98" s="291"/>
      <c r="BI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row>
    <row r="99" spans="34:113" x14ac:dyDescent="0.3">
      <c r="AH99" s="291"/>
      <c r="AI99" s="291"/>
      <c r="AJ99" s="291"/>
      <c r="AK99" s="291"/>
      <c r="AL99" s="291"/>
      <c r="AM99" s="291"/>
      <c r="AN99" s="291"/>
      <c r="AO99" s="291"/>
      <c r="AP99" s="291"/>
      <c r="AQ99" s="291"/>
      <c r="AR99" s="291"/>
      <c r="AS99" s="291"/>
      <c r="AT99" s="291"/>
      <c r="AU99" s="291"/>
      <c r="AV99" s="291"/>
      <c r="AW99" s="291"/>
      <c r="AX99" s="291"/>
      <c r="AY99" s="291"/>
      <c r="AZ99" s="291"/>
      <c r="BA99" s="291"/>
      <c r="BB99" s="291"/>
      <c r="BC99" s="291"/>
      <c r="BD99" s="291"/>
      <c r="BE99" s="291"/>
      <c r="BF99" s="291"/>
      <c r="BG99" s="291"/>
      <c r="BH99" s="291"/>
      <c r="BI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row>
    <row r="100" spans="34:113" x14ac:dyDescent="0.3">
      <c r="AH100" s="291"/>
      <c r="AI100" s="291"/>
      <c r="AJ100" s="291"/>
      <c r="AK100" s="291"/>
      <c r="AL100" s="291"/>
      <c r="AM100" s="291"/>
      <c r="AN100" s="291"/>
      <c r="AO100" s="291"/>
      <c r="AP100" s="291"/>
      <c r="AQ100" s="291"/>
      <c r="AR100" s="291"/>
      <c r="AS100" s="291"/>
      <c r="AT100" s="291"/>
      <c r="AU100" s="291"/>
      <c r="AV100" s="291"/>
      <c r="AW100" s="291"/>
      <c r="AX100" s="291"/>
      <c r="AY100" s="291"/>
      <c r="AZ100" s="291"/>
      <c r="BA100" s="291"/>
      <c r="BB100" s="291"/>
      <c r="BC100" s="291"/>
      <c r="BD100" s="291"/>
      <c r="BE100" s="291"/>
      <c r="BF100" s="291"/>
      <c r="BG100" s="291"/>
      <c r="BH100" s="291"/>
      <c r="BI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row>
    <row r="101" spans="34:113" x14ac:dyDescent="0.3">
      <c r="AH101" s="291"/>
      <c r="AI101" s="291"/>
      <c r="AJ101" s="291"/>
      <c r="AK101" s="291"/>
      <c r="AL101" s="291"/>
      <c r="AM101" s="291"/>
      <c r="AN101" s="291"/>
      <c r="AO101" s="291"/>
      <c r="AP101" s="291"/>
      <c r="AQ101" s="291"/>
      <c r="AR101" s="291"/>
      <c r="AS101" s="291"/>
      <c r="AT101" s="291"/>
      <c r="AU101" s="291"/>
      <c r="AV101" s="291"/>
      <c r="AW101" s="291"/>
      <c r="AX101" s="291"/>
      <c r="AY101" s="291"/>
      <c r="AZ101" s="291"/>
      <c r="BA101" s="291"/>
      <c r="BB101" s="291"/>
      <c r="BC101" s="291"/>
      <c r="BD101" s="291"/>
      <c r="BE101" s="291"/>
      <c r="BF101" s="291"/>
      <c r="BG101" s="291"/>
      <c r="BH101" s="291"/>
      <c r="BI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row>
    <row r="102" spans="34:113" x14ac:dyDescent="0.3">
      <c r="AH102" s="291"/>
      <c r="AI102" s="291"/>
      <c r="AJ102" s="291"/>
      <c r="AK102" s="291"/>
      <c r="AL102" s="291"/>
      <c r="AM102" s="291"/>
      <c r="AN102" s="291"/>
      <c r="AO102" s="291"/>
      <c r="AP102" s="291"/>
      <c r="AQ102" s="291"/>
      <c r="AR102" s="291"/>
      <c r="AS102" s="291"/>
      <c r="AT102" s="291"/>
      <c r="AU102" s="291"/>
      <c r="AV102" s="291"/>
      <c r="AW102" s="291"/>
      <c r="AX102" s="291"/>
      <c r="AY102" s="291"/>
      <c r="AZ102" s="291"/>
      <c r="BA102" s="291"/>
      <c r="BB102" s="291"/>
      <c r="BC102" s="291"/>
      <c r="BD102" s="291"/>
      <c r="BE102" s="291"/>
      <c r="BF102" s="291"/>
      <c r="BG102" s="291"/>
      <c r="BH102" s="291"/>
      <c r="BI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row>
    <row r="103" spans="34:113" x14ac:dyDescent="0.3">
      <c r="AH103" s="291"/>
      <c r="AI103" s="291"/>
      <c r="AJ103" s="291"/>
      <c r="AK103" s="291"/>
      <c r="AL103" s="291"/>
      <c r="AM103" s="291"/>
      <c r="AN103" s="291"/>
      <c r="AO103" s="291"/>
      <c r="AP103" s="291"/>
      <c r="AQ103" s="291"/>
      <c r="AR103" s="291"/>
      <c r="AS103" s="291"/>
      <c r="AT103" s="291"/>
      <c r="AU103" s="291"/>
      <c r="AV103" s="291"/>
      <c r="AW103" s="291"/>
      <c r="AX103" s="291"/>
      <c r="AY103" s="291"/>
      <c r="AZ103" s="291"/>
      <c r="BA103" s="291"/>
      <c r="BB103" s="291"/>
      <c r="BC103" s="291"/>
      <c r="BD103" s="291"/>
      <c r="BE103" s="291"/>
      <c r="BF103" s="291"/>
      <c r="BG103" s="291"/>
      <c r="BH103" s="291"/>
      <c r="BI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row>
    <row r="104" spans="34:113" x14ac:dyDescent="0.3">
      <c r="AH104" s="291"/>
      <c r="AI104" s="291"/>
      <c r="AJ104" s="291"/>
      <c r="AK104" s="291"/>
      <c r="AL104" s="291"/>
      <c r="AM104" s="291"/>
      <c r="AN104" s="291"/>
      <c r="AO104" s="291"/>
      <c r="AP104" s="291"/>
      <c r="AQ104" s="291"/>
      <c r="AR104" s="291"/>
      <c r="AS104" s="291"/>
      <c r="AT104" s="291"/>
      <c r="AU104" s="291"/>
      <c r="AV104" s="291"/>
      <c r="AW104" s="291"/>
      <c r="AX104" s="291"/>
      <c r="AY104" s="291"/>
      <c r="AZ104" s="291"/>
      <c r="BA104" s="291"/>
      <c r="BB104" s="291"/>
      <c r="BC104" s="291"/>
      <c r="BD104" s="291"/>
      <c r="BE104" s="291"/>
      <c r="BF104" s="291"/>
      <c r="BG104" s="291"/>
      <c r="BH104" s="291"/>
      <c r="BI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row>
    <row r="105" spans="34:113" x14ac:dyDescent="0.3">
      <c r="AH105" s="291"/>
      <c r="AI105" s="291"/>
      <c r="AJ105" s="291"/>
      <c r="AK105" s="291"/>
      <c r="AL105" s="291"/>
      <c r="AM105" s="291"/>
      <c r="AN105" s="291"/>
      <c r="AO105" s="291"/>
      <c r="AP105" s="291"/>
      <c r="AQ105" s="291"/>
      <c r="AR105" s="291"/>
      <c r="AS105" s="291"/>
      <c r="AT105" s="291"/>
      <c r="AU105" s="291"/>
      <c r="AV105" s="291"/>
      <c r="AW105" s="291"/>
      <c r="AX105" s="291"/>
      <c r="AY105" s="291"/>
      <c r="AZ105" s="291"/>
      <c r="BA105" s="291"/>
      <c r="BB105" s="291"/>
      <c r="BC105" s="291"/>
      <c r="BD105" s="291"/>
      <c r="BE105" s="291"/>
      <c r="BF105" s="291"/>
      <c r="BG105" s="291"/>
      <c r="BH105" s="291"/>
      <c r="BI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row>
    <row r="106" spans="34:113" x14ac:dyDescent="0.3">
      <c r="AH106" s="291"/>
      <c r="AI106" s="291"/>
      <c r="AJ106" s="291"/>
      <c r="AK106" s="291"/>
      <c r="AL106" s="291"/>
      <c r="AM106" s="291"/>
      <c r="AN106" s="291"/>
      <c r="AO106" s="291"/>
      <c r="AP106" s="291"/>
      <c r="AQ106" s="291"/>
      <c r="AR106" s="291"/>
      <c r="AS106" s="291"/>
      <c r="AT106" s="291"/>
      <c r="AU106" s="291"/>
      <c r="AV106" s="291"/>
      <c r="AW106" s="291"/>
      <c r="AX106" s="291"/>
      <c r="AY106" s="291"/>
      <c r="AZ106" s="291"/>
      <c r="BA106" s="291"/>
      <c r="BB106" s="291"/>
      <c r="BC106" s="291"/>
      <c r="BD106" s="291"/>
      <c r="BE106" s="291"/>
      <c r="BF106" s="291"/>
      <c r="BG106" s="291"/>
      <c r="BH106" s="291"/>
      <c r="BI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row>
    <row r="107" spans="34:113" x14ac:dyDescent="0.3">
      <c r="AH107" s="291"/>
      <c r="AI107" s="291"/>
      <c r="AJ107" s="291"/>
      <c r="AK107" s="291"/>
      <c r="AL107" s="291"/>
      <c r="AM107" s="291"/>
      <c r="AN107" s="291"/>
      <c r="AO107" s="291"/>
      <c r="AP107" s="291"/>
      <c r="AQ107" s="291"/>
      <c r="AR107" s="291"/>
      <c r="AS107" s="291"/>
      <c r="AT107" s="291"/>
      <c r="AU107" s="291"/>
      <c r="AV107" s="291"/>
      <c r="AW107" s="291"/>
      <c r="AX107" s="291"/>
      <c r="AY107" s="291"/>
      <c r="AZ107" s="291"/>
      <c r="BA107" s="291"/>
      <c r="BB107" s="291"/>
      <c r="BC107" s="291"/>
      <c r="BD107" s="291"/>
      <c r="BE107" s="291"/>
      <c r="BF107" s="291"/>
      <c r="BG107" s="291"/>
      <c r="BH107" s="291"/>
      <c r="BI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row>
    <row r="108" spans="34:113" x14ac:dyDescent="0.3">
      <c r="AH108" s="291"/>
      <c r="AI108" s="291"/>
      <c r="AJ108" s="291"/>
      <c r="AK108" s="291"/>
      <c r="AL108" s="291"/>
      <c r="AM108" s="291"/>
      <c r="AN108" s="291"/>
      <c r="AO108" s="291"/>
      <c r="AP108" s="291"/>
      <c r="AQ108" s="291"/>
      <c r="AR108" s="291"/>
      <c r="AS108" s="291"/>
      <c r="AT108" s="291"/>
      <c r="AU108" s="291"/>
      <c r="AV108" s="291"/>
      <c r="AW108" s="291"/>
      <c r="AX108" s="291"/>
      <c r="AY108" s="291"/>
      <c r="AZ108" s="291"/>
      <c r="BA108" s="291"/>
      <c r="BB108" s="291"/>
      <c r="BC108" s="291"/>
      <c r="BD108" s="291"/>
      <c r="BE108" s="291"/>
      <c r="BF108" s="291"/>
      <c r="BG108" s="291"/>
      <c r="BH108" s="291"/>
      <c r="BI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row>
    <row r="109" spans="34:113" x14ac:dyDescent="0.3">
      <c r="AH109" s="291"/>
      <c r="AI109" s="291"/>
      <c r="AJ109" s="291"/>
      <c r="AK109" s="291"/>
      <c r="AL109" s="291"/>
      <c r="AM109" s="291"/>
      <c r="AN109" s="291"/>
      <c r="AO109" s="291"/>
      <c r="AP109" s="291"/>
      <c r="AQ109" s="291"/>
      <c r="AR109" s="291"/>
      <c r="AS109" s="291"/>
      <c r="AT109" s="291"/>
      <c r="AU109" s="291"/>
      <c r="AV109" s="291"/>
      <c r="AW109" s="291"/>
      <c r="AX109" s="291"/>
      <c r="AY109" s="291"/>
      <c r="AZ109" s="291"/>
      <c r="BA109" s="291"/>
      <c r="BB109" s="291"/>
      <c r="BC109" s="291"/>
      <c r="BD109" s="291"/>
      <c r="BE109" s="291"/>
      <c r="BF109" s="291"/>
      <c r="BG109" s="291"/>
      <c r="BH109" s="291"/>
      <c r="BI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row>
    <row r="110" spans="34:113" x14ac:dyDescent="0.3">
      <c r="AH110" s="291"/>
      <c r="AI110" s="291"/>
      <c r="AJ110" s="291"/>
      <c r="AK110" s="291"/>
      <c r="AL110" s="291"/>
      <c r="AM110" s="291"/>
      <c r="AN110" s="291"/>
      <c r="AO110" s="291"/>
      <c r="AP110" s="291"/>
      <c r="AQ110" s="291"/>
      <c r="AR110" s="291"/>
      <c r="AS110" s="291"/>
      <c r="AT110" s="291"/>
      <c r="AU110" s="291"/>
      <c r="AV110" s="291"/>
      <c r="AW110" s="291"/>
      <c r="AX110" s="291"/>
      <c r="AY110" s="291"/>
      <c r="AZ110" s="291"/>
      <c r="BA110" s="291"/>
      <c r="BB110" s="291"/>
      <c r="BC110" s="291"/>
      <c r="BD110" s="291"/>
      <c r="BE110" s="291"/>
      <c r="BF110" s="291"/>
      <c r="BG110" s="291"/>
      <c r="BH110" s="291"/>
      <c r="BI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row>
    <row r="111" spans="34:113" x14ac:dyDescent="0.3">
      <c r="AH111" s="291"/>
      <c r="AI111" s="291"/>
      <c r="AJ111" s="291"/>
      <c r="AK111" s="291"/>
      <c r="AL111" s="291"/>
      <c r="AM111" s="291"/>
      <c r="AN111" s="291"/>
      <c r="AO111" s="291"/>
      <c r="AP111" s="291"/>
      <c r="AQ111" s="291"/>
      <c r="AR111" s="291"/>
      <c r="AS111" s="291"/>
      <c r="AT111" s="291"/>
      <c r="AU111" s="291"/>
      <c r="AV111" s="291"/>
      <c r="AW111" s="291"/>
      <c r="AX111" s="291"/>
      <c r="AY111" s="291"/>
      <c r="AZ111" s="291"/>
      <c r="BA111" s="291"/>
      <c r="BB111" s="291"/>
      <c r="BC111" s="291"/>
      <c r="BD111" s="291"/>
      <c r="BE111" s="291"/>
      <c r="BF111" s="291"/>
      <c r="BG111" s="291"/>
      <c r="BH111" s="291"/>
      <c r="BI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row>
  </sheetData>
  <autoFilter ref="A1:BK50" xr:uid="{00000000-0009-0000-0000-00000F000000}"/>
  <mergeCells count="8">
    <mergeCell ref="CX1:DC1"/>
    <mergeCell ref="DD1:DI1"/>
    <mergeCell ref="BN1:BS1"/>
    <mergeCell ref="BT1:BY1"/>
    <mergeCell ref="BZ1:CE1"/>
    <mergeCell ref="CF1:CK1"/>
    <mergeCell ref="CL1:CQ1"/>
    <mergeCell ref="CR1:CW1"/>
  </mergeCells>
  <conditionalFormatting sqref="O55:AA74">
    <cfRule type="containsText" dxfId="294" priority="22" operator="containsText" text="20+">
      <formula>NOT(ISERROR(SEARCH("20+",O55)))</formula>
    </cfRule>
    <cfRule type="containsText" dxfId="293" priority="23" operator="containsText" text="unknown">
      <formula>NOT(ISERROR(SEARCH("unknown",O55)))</formula>
    </cfRule>
    <cfRule type="containsText" dxfId="292" priority="24" operator="containsText" text="15-20 years">
      <formula>NOT(ISERROR(SEARCH("15-20 years",O55)))</formula>
    </cfRule>
    <cfRule type="containsText" dxfId="291" priority="25" operator="containsText" text="10-15 years">
      <formula>NOT(ISERROR(SEARCH("10-15 years",O55)))</formula>
    </cfRule>
    <cfRule type="containsText" dxfId="290" priority="26" operator="containsText" text="5-10 years">
      <formula>NOT(ISERROR(SEARCH("5-10 years",O55)))</formula>
    </cfRule>
    <cfRule type="containsText" dxfId="289" priority="27" operator="containsText" text="0-20 years">
      <formula>NOT(ISERROR(SEARCH("0-20 years",O55)))</formula>
    </cfRule>
    <cfRule type="containsText" dxfId="288" priority="28" operator="containsText" text="0-5 years">
      <formula>NOT(ISERROR(SEARCH("0-5 years",O55)))</formula>
    </cfRule>
  </conditionalFormatting>
  <pageMargins left="0.7" right="0.7" top="0.75" bottom="0.75" header="0.3" footer="0.3"/>
  <pageSetup paperSize="262" orientation="portrait" r:id="rId1"/>
  <extLst>
    <ext xmlns:x14="http://schemas.microsoft.com/office/spreadsheetml/2009/9/main" uri="{78C0D931-6437-407d-A8EE-F0AAD7539E65}">
      <x14:conditionalFormattings>
        <x14:conditionalFormatting xmlns:xm="http://schemas.microsoft.com/office/excel/2006/main">
          <x14:cfRule type="containsText" priority="15" operator="containsText" text="20+" id="{4F440606-92B0-4545-8C6A-467411F20914}">
            <xm:f>NOT(ISERROR(SEARCH("20+",'K:\Projects\HGGT0003 - HGGT IDP Update 2021-22\[20190414_HGGT_IDP_2019_Schedule.xlsx]Utilities'!#REF!)))</xm:f>
            <x14:dxf>
              <fill>
                <patternFill>
                  <bgColor theme="3" tint="0.59996337778862885"/>
                </patternFill>
              </fill>
            </x14:dxf>
          </x14:cfRule>
          <x14:cfRule type="containsText" priority="16" operator="containsText" text="unknown" id="{B2CA1592-856F-4C8F-8DF0-8A2BB8248CD5}">
            <xm:f>NOT(ISERROR(SEARCH("unknown",'K:\Projects\HGGT0003 - HGGT IDP Update 2021-22\[20190414_HGGT_IDP_2019_Schedule.xlsx]Utilities'!#REF!)))</xm:f>
            <x14:dxf>
              <fill>
                <patternFill>
                  <bgColor theme="3" tint="0.79998168889431442"/>
                </patternFill>
              </fill>
            </x14:dxf>
          </x14:cfRule>
          <x14:cfRule type="containsText" priority="17" operator="containsText" text="15-20 years" id="{6D295389-7C91-4B4F-B344-79528CE2AA39}">
            <xm:f>NOT(ISERROR(SEARCH("15-20 years",'K:\Projects\HGGT0003 - HGGT IDP Update 2021-22\[20190414_HGGT_IDP_2019_Schedule.xlsx]Utilities'!#REF!)))</xm:f>
            <x14:dxf>
              <fill>
                <patternFill>
                  <bgColor theme="3" tint="0.39994506668294322"/>
                </patternFill>
              </fill>
            </x14:dxf>
          </x14:cfRule>
          <x14:cfRule type="containsText" priority="18" operator="containsText" text="10-15 years" id="{DE544A24-FA3D-4AE2-BDE1-9619FBE46FCC}">
            <xm:f>NOT(ISERROR(SEARCH("10-15 years",'K:\Projects\HGGT0003 - HGGT IDP Update 2021-22\[20190414_HGGT_IDP_2019_Schedule.xlsx]Utilities'!#REF!)))</xm:f>
            <x14:dxf>
              <fill>
                <patternFill>
                  <bgColor theme="4" tint="-0.24994659260841701"/>
                </patternFill>
              </fill>
            </x14:dxf>
          </x14:cfRule>
          <x14:cfRule type="containsText" priority="19" operator="containsText" text="5-10 years" id="{9BDB3A89-2707-4138-B276-C8764B1EE2F8}">
            <xm:f>NOT(ISERROR(SEARCH("5-10 years",'K:\Projects\HGGT0003 - HGGT IDP Update 2021-22\[20190414_HGGT_IDP_2019_Schedule.xlsx]Utilities'!#REF!)))</xm:f>
            <x14:dxf>
              <fill>
                <patternFill>
                  <bgColor theme="4" tint="0.39994506668294322"/>
                </patternFill>
              </fill>
            </x14:dxf>
          </x14:cfRule>
          <x14:cfRule type="containsText" priority="20" operator="containsText" text="0-20 years" id="{93E0DE1F-7EFA-4EBB-AD45-968C8C7335DB}">
            <xm:f>NOT(ISERROR(SEARCH("0-20 years",'K:\Projects\HGGT0003 - HGGT IDP Update 2021-22\[20190414_HGGT_IDP_2019_Schedule.xlsx]Utilities'!#REF!)))</xm:f>
            <x14:dxf>
              <fill>
                <patternFill>
                  <bgColor theme="4" tint="0.59996337778862885"/>
                </patternFill>
              </fill>
            </x14:dxf>
          </x14:cfRule>
          <x14:cfRule type="containsText" priority="21" operator="containsText" text="0-5 years" id="{C3BD3C0E-B5B0-4316-8E8F-50CD1B6AEFBC}">
            <xm:f>NOT(ISERROR(SEARCH("0-5 years",'K:\Projects\HGGT0003 - HGGT IDP Update 2021-22\[20190414_HGGT_IDP_2019_Schedule.xlsx]Utilities'!#REF!)))</xm:f>
            <x14:dxf>
              <fill>
                <patternFill>
                  <bgColor theme="4" tint="0.79998168889431442"/>
                </patternFill>
              </fill>
            </x14:dxf>
          </x14:cfRule>
          <xm:sqref>G1 N1:T1 AA1</xm:sqref>
        </x14:conditionalFormatting>
        <x14:conditionalFormatting xmlns:xm="http://schemas.microsoft.com/office/excel/2006/main">
          <x14:cfRule type="containsText" priority="1" operator="containsText" text="20+" id="{00DDEAEE-1EAA-48CF-973D-6ACDEDF421C5}">
            <xm:f>NOT(ISERROR(SEARCH("20+",'K:\Projects\HGGT0003 - HGGT IDP Update 2021-22\[20190414_HGGT_IDP_2019_Schedule.xlsx]Utilities'!#REF!)))</xm:f>
            <x14:dxf>
              <fill>
                <patternFill>
                  <bgColor theme="3" tint="0.59996337778862885"/>
                </patternFill>
              </fill>
            </x14:dxf>
          </x14:cfRule>
          <x14:cfRule type="containsText" priority="2" operator="containsText" text="unknown" id="{D97560E0-AC2D-419E-89AB-40AD97C11074}">
            <xm:f>NOT(ISERROR(SEARCH("unknown",'K:\Projects\HGGT0003 - HGGT IDP Update 2021-22\[20190414_HGGT_IDP_2019_Schedule.xlsx]Utilities'!#REF!)))</xm:f>
            <x14:dxf>
              <fill>
                <patternFill>
                  <bgColor theme="3" tint="0.79998168889431442"/>
                </patternFill>
              </fill>
            </x14:dxf>
          </x14:cfRule>
          <x14:cfRule type="containsText" priority="3" operator="containsText" text="15-20 years" id="{28EEA044-D425-4E74-B514-C02A929CAF49}">
            <xm:f>NOT(ISERROR(SEARCH("15-20 years",'K:\Projects\HGGT0003 - HGGT IDP Update 2021-22\[20190414_HGGT_IDP_2019_Schedule.xlsx]Utilities'!#REF!)))</xm:f>
            <x14:dxf>
              <fill>
                <patternFill>
                  <bgColor theme="3" tint="0.39994506668294322"/>
                </patternFill>
              </fill>
            </x14:dxf>
          </x14:cfRule>
          <x14:cfRule type="containsText" priority="4" operator="containsText" text="10-15 years" id="{361143C0-4540-4677-A2AE-6D4CFF736269}">
            <xm:f>NOT(ISERROR(SEARCH("10-15 years",'K:\Projects\HGGT0003 - HGGT IDP Update 2021-22\[20190414_HGGT_IDP_2019_Schedule.xlsx]Utilities'!#REF!)))</xm:f>
            <x14:dxf>
              <fill>
                <patternFill>
                  <bgColor theme="4" tint="-0.24994659260841701"/>
                </patternFill>
              </fill>
            </x14:dxf>
          </x14:cfRule>
          <x14:cfRule type="containsText" priority="5" operator="containsText" text="5-10 years" id="{32B1ED44-1EC1-4C8A-AEA5-8993C69E4069}">
            <xm:f>NOT(ISERROR(SEARCH("5-10 years",'K:\Projects\HGGT0003 - HGGT IDP Update 2021-22\[20190414_HGGT_IDP_2019_Schedule.xlsx]Utilities'!#REF!)))</xm:f>
            <x14:dxf>
              <fill>
                <patternFill>
                  <bgColor theme="4" tint="0.39994506668294322"/>
                </patternFill>
              </fill>
            </x14:dxf>
          </x14:cfRule>
          <x14:cfRule type="containsText" priority="6" operator="containsText" text="0-20 years" id="{C9267679-B418-4AD6-90FC-96B15E82F72B}">
            <xm:f>NOT(ISERROR(SEARCH("0-20 years",'K:\Projects\HGGT0003 - HGGT IDP Update 2021-22\[20190414_HGGT_IDP_2019_Schedule.xlsx]Utilities'!#REF!)))</xm:f>
            <x14:dxf>
              <fill>
                <patternFill>
                  <bgColor theme="4" tint="0.59996337778862885"/>
                </patternFill>
              </fill>
            </x14:dxf>
          </x14:cfRule>
          <x14:cfRule type="containsText" priority="7" operator="containsText" text="0-5 years" id="{8919CB03-AE01-4D83-B9A8-D560970BA6BF}">
            <xm:f>NOT(ISERROR(SEARCH("0-5 years",'K:\Projects\HGGT0003 - HGGT IDP Update 2021-22\[20190414_HGGT_IDP_2019_Schedule.xlsx]Utilities'!#REF!)))</xm:f>
            <x14:dxf>
              <fill>
                <patternFill>
                  <bgColor theme="4" tint="0.79998168889431442"/>
                </patternFill>
              </fill>
            </x14:dxf>
          </x14:cfRule>
          <xm:sqref>U1:Z1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8168889431442"/>
    <pageSetUpPr autoPageBreaks="0"/>
  </sheetPr>
  <dimension ref="A1:BM112"/>
  <sheetViews>
    <sheetView showGridLines="0" view="pageBreakPreview" zoomScale="60" zoomScaleNormal="60" workbookViewId="0">
      <pane ySplit="4" topLeftCell="A5" activePane="bottomLeft" state="frozen"/>
      <selection activeCell="AD1" sqref="AD1"/>
      <selection pane="bottomLeft" activeCell="B1" sqref="B1:AF1"/>
    </sheetView>
  </sheetViews>
  <sheetFormatPr defaultColWidth="8.90625" defaultRowHeight="16.5" x14ac:dyDescent="0.35"/>
  <cols>
    <col min="1" max="1" width="3.90625" style="758" customWidth="1"/>
    <col min="2" max="2" width="10.90625" style="761" customWidth="1"/>
    <col min="3" max="3" width="45.90625" style="761" customWidth="1"/>
    <col min="4" max="4" width="20.90625" style="761" customWidth="1"/>
    <col min="5" max="5" width="12.90625" style="793" customWidth="1"/>
    <col min="6" max="14" width="7.90625" style="793" customWidth="1"/>
    <col min="15" max="15" width="20.90625" style="793" customWidth="1"/>
    <col min="16" max="16" width="30.90625" style="761" customWidth="1"/>
    <col min="17" max="18" width="20.90625" style="793" customWidth="1"/>
    <col min="19" max="19" width="30.90625" style="761" customWidth="1"/>
    <col min="20" max="20" width="20.90625" style="761" customWidth="1"/>
    <col min="21" max="21" width="20.90625" style="793" customWidth="1"/>
    <col min="22" max="22" width="30.90625" style="793" customWidth="1"/>
    <col min="23" max="24" width="20.90625" style="793" customWidth="1"/>
    <col min="25" max="25" width="30.90625" style="793" customWidth="1"/>
    <col min="26" max="26" width="20.90625" style="761" customWidth="1"/>
    <col min="27" max="28" width="20.90625" style="793" customWidth="1"/>
    <col min="29" max="29" width="30.90625" style="793" customWidth="1"/>
    <col min="30" max="30" width="20.90625" style="761" customWidth="1"/>
    <col min="31" max="31" width="20.90625" style="793" customWidth="1"/>
    <col min="32" max="32" width="30.90625" style="761" customWidth="1"/>
    <col min="33" max="34" width="3.90625" style="758" customWidth="1"/>
    <col min="35" max="35" width="10.90625" style="761" customWidth="1"/>
    <col min="36" max="36" width="45.90625" style="761" customWidth="1"/>
    <col min="37" max="37" width="20.90625" style="761" customWidth="1"/>
    <col min="38" max="38" width="20.90625" style="1071" customWidth="1"/>
    <col min="39" max="57" width="20.90625" style="761" customWidth="1"/>
    <col min="58" max="58" width="20.90625" style="1071" customWidth="1"/>
    <col min="59" max="60" width="20.90625" style="761" customWidth="1"/>
    <col min="61" max="61" width="3.90625" style="758" customWidth="1"/>
    <col min="62" max="62" width="25.90625" style="761" customWidth="1"/>
    <col min="63" max="64" width="50.90625" style="761" customWidth="1"/>
    <col min="65" max="16384" width="8.90625" style="761"/>
  </cols>
  <sheetData>
    <row r="1" spans="1:65" ht="39.9" customHeight="1" x14ac:dyDescent="0.35">
      <c r="A1" s="757"/>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59"/>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59"/>
      <c r="BJ1" s="760"/>
      <c r="BK1" s="760"/>
      <c r="BL1" s="760"/>
      <c r="BM1" s="760"/>
    </row>
    <row r="2" spans="1:65" s="758" customFormat="1" ht="15" customHeight="1" thickBot="1" x14ac:dyDescent="0.4">
      <c r="B2" s="1072" t="s">
        <v>449</v>
      </c>
      <c r="C2" s="1072" t="s">
        <v>450</v>
      </c>
      <c r="D2" s="1072" t="s">
        <v>451</v>
      </c>
      <c r="E2" s="1072" t="s">
        <v>452</v>
      </c>
      <c r="F2" s="1467" t="s">
        <v>453</v>
      </c>
      <c r="G2" s="1468"/>
      <c r="H2" s="1468"/>
      <c r="I2" s="1468"/>
      <c r="J2" s="1468"/>
      <c r="K2" s="1468"/>
      <c r="L2" s="1468"/>
      <c r="M2" s="1468"/>
      <c r="N2" s="1469"/>
      <c r="O2" s="1072" t="s">
        <v>454</v>
      </c>
      <c r="P2" s="1072" t="s">
        <v>455</v>
      </c>
      <c r="Q2" s="1072" t="s">
        <v>456</v>
      </c>
      <c r="R2" s="1072"/>
      <c r="S2" s="1072" t="s">
        <v>457</v>
      </c>
      <c r="T2" s="1072" t="s">
        <v>458</v>
      </c>
      <c r="U2" s="1072" t="s">
        <v>459</v>
      </c>
      <c r="V2" s="1072" t="s">
        <v>460</v>
      </c>
      <c r="W2" s="1072" t="s">
        <v>461</v>
      </c>
      <c r="X2" s="1072" t="s">
        <v>242</v>
      </c>
      <c r="Y2" s="1072" t="s">
        <v>462</v>
      </c>
      <c r="Z2" s="1072" t="s">
        <v>463</v>
      </c>
      <c r="AA2" s="1072" t="s">
        <v>464</v>
      </c>
      <c r="AB2" s="1072" t="s">
        <v>465</v>
      </c>
      <c r="AC2" s="1072" t="s">
        <v>466</v>
      </c>
      <c r="AD2" s="1072" t="s">
        <v>467</v>
      </c>
      <c r="AE2" s="1072" t="s">
        <v>468</v>
      </c>
      <c r="AF2" s="1072" t="s">
        <v>469</v>
      </c>
      <c r="AG2" s="1140"/>
      <c r="AH2" s="1141"/>
      <c r="AI2" s="1072" t="s">
        <v>449</v>
      </c>
      <c r="AJ2" s="1072" t="s">
        <v>450</v>
      </c>
      <c r="AK2" s="1072" t="s">
        <v>471</v>
      </c>
      <c r="AL2" s="1073" t="s">
        <v>472</v>
      </c>
      <c r="AM2" s="1072" t="s">
        <v>473</v>
      </c>
      <c r="AN2" s="1072" t="s">
        <v>474</v>
      </c>
      <c r="AO2" s="1072" t="s">
        <v>475</v>
      </c>
      <c r="AP2" s="1072" t="s">
        <v>476</v>
      </c>
      <c r="AQ2" s="1072" t="s">
        <v>477</v>
      </c>
      <c r="AR2" s="1072" t="s">
        <v>478</v>
      </c>
      <c r="AS2" s="1072" t="s">
        <v>479</v>
      </c>
      <c r="AT2" s="1072" t="s">
        <v>480</v>
      </c>
      <c r="AU2" s="1072" t="s">
        <v>481</v>
      </c>
      <c r="AV2" s="1072" t="s">
        <v>482</v>
      </c>
      <c r="AW2" s="1072" t="s">
        <v>483</v>
      </c>
      <c r="AX2" s="1072" t="s">
        <v>484</v>
      </c>
      <c r="AY2" s="1072" t="s">
        <v>485</v>
      </c>
      <c r="AZ2" s="1072" t="s">
        <v>486</v>
      </c>
      <c r="BA2" s="1072" t="s">
        <v>487</v>
      </c>
      <c r="BB2" s="1072" t="s">
        <v>488</v>
      </c>
      <c r="BC2" s="1072" t="s">
        <v>489</v>
      </c>
      <c r="BD2" s="1072" t="s">
        <v>490</v>
      </c>
      <c r="BE2" s="1072" t="s">
        <v>491</v>
      </c>
      <c r="BF2" s="1073" t="s">
        <v>492</v>
      </c>
      <c r="BG2" s="1072" t="s">
        <v>493</v>
      </c>
      <c r="BH2" s="1072" t="s">
        <v>494</v>
      </c>
    </row>
    <row r="3" spans="1:65" ht="99.9" customHeight="1" thickTop="1" x14ac:dyDescent="0.35">
      <c r="B3" s="1392" t="s">
        <v>2231</v>
      </c>
      <c r="C3" s="768"/>
      <c r="D3" s="1385" t="s">
        <v>495</v>
      </c>
      <c r="E3" s="1394" t="s">
        <v>496</v>
      </c>
      <c r="F3" s="1396" t="s">
        <v>219</v>
      </c>
      <c r="G3" s="1396"/>
      <c r="H3" s="1396"/>
      <c r="I3" s="1396"/>
      <c r="J3" s="1396"/>
      <c r="K3" s="1396"/>
      <c r="L3" s="1396"/>
      <c r="M3" s="1396"/>
      <c r="N3" s="1396"/>
      <c r="O3" s="1385" t="s">
        <v>214</v>
      </c>
      <c r="P3" s="1400" t="s">
        <v>497</v>
      </c>
      <c r="Q3" s="1385" t="s">
        <v>498</v>
      </c>
      <c r="R3" s="1321" t="s">
        <v>2297</v>
      </c>
      <c r="S3" s="1391" t="s">
        <v>499</v>
      </c>
      <c r="T3" s="1388" t="s">
        <v>501</v>
      </c>
      <c r="U3" s="1390" t="s">
        <v>2</v>
      </c>
      <c r="V3" s="1391" t="s">
        <v>500</v>
      </c>
      <c r="W3" s="1552" t="s">
        <v>856</v>
      </c>
      <c r="X3" s="1553" t="s">
        <v>503</v>
      </c>
      <c r="Y3" s="1385" t="s">
        <v>504</v>
      </c>
      <c r="Z3" s="1388" t="s">
        <v>505</v>
      </c>
      <c r="AA3" s="1551" t="s">
        <v>506</v>
      </c>
      <c r="AB3" s="1553" t="s">
        <v>1575</v>
      </c>
      <c r="AC3" s="1385" t="s">
        <v>504</v>
      </c>
      <c r="AD3" s="1388" t="s">
        <v>505</v>
      </c>
      <c r="AE3" s="1494" t="s">
        <v>508</v>
      </c>
      <c r="AF3" s="1490" t="s">
        <v>509</v>
      </c>
      <c r="AI3" s="1389" t="s">
        <v>2231</v>
      </c>
      <c r="AJ3" s="771"/>
      <c r="AK3" s="772" t="s">
        <v>2234</v>
      </c>
      <c r="AL3" s="773" t="s">
        <v>2235</v>
      </c>
      <c r="AM3" s="773" t="s">
        <v>2236</v>
      </c>
      <c r="AN3" s="773" t="s">
        <v>2237</v>
      </c>
      <c r="AO3" s="773" t="s">
        <v>2238</v>
      </c>
      <c r="AP3" s="773" t="s">
        <v>2239</v>
      </c>
      <c r="AQ3" s="774" t="s">
        <v>2240</v>
      </c>
      <c r="AR3" s="775" t="s">
        <v>2241</v>
      </c>
      <c r="AS3" s="773" t="s">
        <v>2242</v>
      </c>
      <c r="AT3" s="773" t="s">
        <v>2243</v>
      </c>
      <c r="AU3" s="773" t="s">
        <v>2244</v>
      </c>
      <c r="AV3" s="773" t="s">
        <v>2245</v>
      </c>
      <c r="AW3" s="773" t="s">
        <v>2246</v>
      </c>
      <c r="AX3" s="773" t="s">
        <v>2247</v>
      </c>
      <c r="AY3" s="773" t="s">
        <v>2248</v>
      </c>
      <c r="AZ3" s="773" t="s">
        <v>2249</v>
      </c>
      <c r="BA3" s="773" t="s">
        <v>2250</v>
      </c>
      <c r="BB3" s="773" t="s">
        <v>2251</v>
      </c>
      <c r="BC3" s="773" t="s">
        <v>2252</v>
      </c>
      <c r="BD3" s="773" t="s">
        <v>2253</v>
      </c>
      <c r="BE3" s="1142" t="s">
        <v>2254</v>
      </c>
      <c r="BF3" s="775" t="s">
        <v>2255</v>
      </c>
      <c r="BG3" s="1398" t="s">
        <v>41</v>
      </c>
      <c r="BH3" s="1382" t="s">
        <v>42</v>
      </c>
      <c r="BJ3" s="777"/>
      <c r="BK3" s="778"/>
      <c r="BL3" s="778"/>
    </row>
    <row r="4" spans="1:65" s="793" customFormat="1" ht="114" customHeight="1" x14ac:dyDescent="0.35">
      <c r="A4" s="880"/>
      <c r="B4" s="1393"/>
      <c r="C4" s="780" t="s">
        <v>1576</v>
      </c>
      <c r="D4" s="1286"/>
      <c r="E4" s="1395"/>
      <c r="F4" s="333" t="s">
        <v>512</v>
      </c>
      <c r="G4" s="333" t="s">
        <v>513</v>
      </c>
      <c r="H4" s="333" t="s">
        <v>514</v>
      </c>
      <c r="I4" s="333" t="s">
        <v>515</v>
      </c>
      <c r="J4" s="333" t="s">
        <v>516</v>
      </c>
      <c r="K4" s="333" t="s">
        <v>517</v>
      </c>
      <c r="L4" s="333" t="s">
        <v>518</v>
      </c>
      <c r="M4" s="333" t="s">
        <v>519</v>
      </c>
      <c r="N4" s="333" t="s">
        <v>520</v>
      </c>
      <c r="O4" s="1397"/>
      <c r="P4" s="1401"/>
      <c r="Q4" s="1286"/>
      <c r="R4" s="1322"/>
      <c r="S4" s="1241"/>
      <c r="T4" s="1288"/>
      <c r="U4" s="1320"/>
      <c r="V4" s="1241"/>
      <c r="W4" s="1529"/>
      <c r="X4" s="1539"/>
      <c r="Y4" s="1286"/>
      <c r="Z4" s="1288"/>
      <c r="AA4" s="1541"/>
      <c r="AB4" s="1539"/>
      <c r="AC4" s="1286"/>
      <c r="AD4" s="1288"/>
      <c r="AE4" s="1249"/>
      <c r="AF4" s="1483"/>
      <c r="AG4" s="880"/>
      <c r="AH4" s="880"/>
      <c r="AI4" s="1299"/>
      <c r="AJ4" s="783" t="s">
        <v>1576</v>
      </c>
      <c r="AK4" s="784">
        <v>8500</v>
      </c>
      <c r="AL4" s="785">
        <v>1500</v>
      </c>
      <c r="AM4" s="785">
        <v>2600</v>
      </c>
      <c r="AN4" s="786">
        <v>750</v>
      </c>
      <c r="AO4" s="786" t="s">
        <v>48</v>
      </c>
      <c r="AP4" s="785">
        <v>2100</v>
      </c>
      <c r="AQ4" s="787">
        <v>1050</v>
      </c>
      <c r="AR4" s="788">
        <v>550</v>
      </c>
      <c r="AS4" s="786">
        <v>70</v>
      </c>
      <c r="AT4" s="786">
        <v>30</v>
      </c>
      <c r="AU4" s="786">
        <v>35</v>
      </c>
      <c r="AV4" s="786">
        <v>35</v>
      </c>
      <c r="AW4" s="786">
        <v>20</v>
      </c>
      <c r="AX4" s="786">
        <v>16</v>
      </c>
      <c r="AY4" s="786">
        <v>15</v>
      </c>
      <c r="AZ4" s="786">
        <v>13</v>
      </c>
      <c r="BA4" s="786">
        <v>10</v>
      </c>
      <c r="BB4" s="786">
        <v>10</v>
      </c>
      <c r="BC4" s="786">
        <v>10</v>
      </c>
      <c r="BD4" s="786">
        <v>10</v>
      </c>
      <c r="BE4" s="1143">
        <v>10</v>
      </c>
      <c r="BF4" s="790">
        <v>2120</v>
      </c>
      <c r="BG4" s="1399"/>
      <c r="BH4" s="1383"/>
      <c r="BI4" s="880"/>
      <c r="BJ4" s="791"/>
      <c r="BK4" s="792"/>
      <c r="BL4" s="792"/>
    </row>
    <row r="5" spans="1:65" ht="17.25" customHeight="1" x14ac:dyDescent="0.35">
      <c r="B5" s="795"/>
      <c r="C5" s="796" t="s">
        <v>521</v>
      </c>
      <c r="D5" s="302"/>
      <c r="E5" s="303"/>
      <c r="F5" s="303"/>
      <c r="G5" s="303"/>
      <c r="H5" s="303"/>
      <c r="I5" s="303"/>
      <c r="J5" s="303"/>
      <c r="K5" s="303"/>
      <c r="L5" s="303"/>
      <c r="M5" s="303"/>
      <c r="N5" s="307"/>
      <c r="O5" s="303"/>
      <c r="P5" s="302"/>
      <c r="Q5" s="305"/>
      <c r="R5" s="305"/>
      <c r="S5" s="306"/>
      <c r="T5" s="804"/>
      <c r="U5" s="305"/>
      <c r="V5" s="305"/>
      <c r="W5" s="506"/>
      <c r="X5" s="584"/>
      <c r="Y5" s="803"/>
      <c r="Z5" s="804"/>
      <c r="AA5" s="570"/>
      <c r="AB5" s="584"/>
      <c r="AC5" s="803"/>
      <c r="AD5" s="804"/>
      <c r="AE5" s="1169"/>
      <c r="AF5" s="797"/>
      <c r="AI5" s="800"/>
      <c r="AJ5" s="801" t="s">
        <v>521</v>
      </c>
      <c r="AK5" s="802"/>
      <c r="AL5" s="803"/>
      <c r="AM5" s="803"/>
      <c r="AN5" s="803"/>
      <c r="AO5" s="803"/>
      <c r="AP5" s="803"/>
      <c r="AQ5" s="804"/>
      <c r="AR5" s="805"/>
      <c r="AS5" s="803"/>
      <c r="AT5" s="803"/>
      <c r="AU5" s="803"/>
      <c r="AV5" s="803"/>
      <c r="AW5" s="803"/>
      <c r="AX5" s="803"/>
      <c r="AY5" s="803"/>
      <c r="AZ5" s="803"/>
      <c r="BA5" s="803"/>
      <c r="BB5" s="803"/>
      <c r="BC5" s="305"/>
      <c r="BD5" s="803"/>
      <c r="BE5" s="570"/>
      <c r="BF5" s="1170"/>
      <c r="BG5" s="305"/>
      <c r="BH5" s="570"/>
    </row>
    <row r="6" spans="1:65" ht="125.15" customHeight="1" x14ac:dyDescent="0.35">
      <c r="A6" s="1459">
        <v>1</v>
      </c>
      <c r="B6" s="1418" t="s">
        <v>1577</v>
      </c>
      <c r="C6" s="1420" t="s">
        <v>1578</v>
      </c>
      <c r="D6" s="1422"/>
      <c r="E6" s="1374" t="s">
        <v>524</v>
      </c>
      <c r="F6" s="808"/>
      <c r="G6" s="809"/>
      <c r="H6" s="809"/>
      <c r="I6" s="809"/>
      <c r="J6" s="810"/>
      <c r="K6" s="809"/>
      <c r="L6" s="809"/>
      <c r="M6" s="809"/>
      <c r="N6" s="811"/>
      <c r="O6" s="1422" t="s">
        <v>525</v>
      </c>
      <c r="P6" s="1422" t="s">
        <v>526</v>
      </c>
      <c r="Q6" s="324" t="s">
        <v>527</v>
      </c>
      <c r="R6" s="324"/>
      <c r="S6" s="1424" t="s">
        <v>1579</v>
      </c>
      <c r="T6" s="551"/>
      <c r="U6" s="324"/>
      <c r="V6" s="1424"/>
      <c r="W6" s="551"/>
      <c r="X6" s="582" t="s">
        <v>1580</v>
      </c>
      <c r="Y6" s="1424" t="s">
        <v>1581</v>
      </c>
      <c r="Z6" s="551"/>
      <c r="AA6" s="1171"/>
      <c r="AB6" s="582" t="s">
        <v>1580</v>
      </c>
      <c r="AC6" s="1424" t="s">
        <v>1581</v>
      </c>
      <c r="AD6" s="551"/>
      <c r="AE6" s="1172"/>
      <c r="AF6" s="1173"/>
      <c r="AG6" s="1309">
        <v>1</v>
      </c>
      <c r="AH6" s="1275">
        <v>1</v>
      </c>
      <c r="AI6" s="1430" t="s">
        <v>1577</v>
      </c>
      <c r="AJ6" s="1428" t="s">
        <v>1578</v>
      </c>
      <c r="AK6" s="600" t="s">
        <v>527</v>
      </c>
      <c r="AL6" s="569" t="s">
        <v>527</v>
      </c>
      <c r="AM6" s="569" t="s">
        <v>527</v>
      </c>
      <c r="AN6" s="569" t="s">
        <v>527</v>
      </c>
      <c r="AO6" s="569" t="s">
        <v>527</v>
      </c>
      <c r="AP6" s="569" t="s">
        <v>527</v>
      </c>
      <c r="AQ6" s="643" t="s">
        <v>527</v>
      </c>
      <c r="AR6" s="589" t="s">
        <v>527</v>
      </c>
      <c r="AS6" s="569" t="s">
        <v>527</v>
      </c>
      <c r="AT6" s="569" t="s">
        <v>527</v>
      </c>
      <c r="AU6" s="569" t="s">
        <v>527</v>
      </c>
      <c r="AV6" s="569" t="s">
        <v>527</v>
      </c>
      <c r="AW6" s="569" t="s">
        <v>527</v>
      </c>
      <c r="AX6" s="569" t="s">
        <v>527</v>
      </c>
      <c r="AY6" s="569" t="s">
        <v>527</v>
      </c>
      <c r="AZ6" s="569" t="s">
        <v>527</v>
      </c>
      <c r="BA6" s="569" t="s">
        <v>527</v>
      </c>
      <c r="BB6" s="569" t="s">
        <v>527</v>
      </c>
      <c r="BC6" s="569" t="s">
        <v>527</v>
      </c>
      <c r="BD6" s="569" t="s">
        <v>527</v>
      </c>
      <c r="BE6" s="708" t="s">
        <v>527</v>
      </c>
      <c r="BF6" s="569" t="s">
        <v>527</v>
      </c>
      <c r="BG6" s="569" t="s">
        <v>527</v>
      </c>
      <c r="BH6" s="1306"/>
      <c r="BI6" s="1432">
        <v>1</v>
      </c>
    </row>
    <row r="7" spans="1:65" ht="125.15" customHeight="1" x14ac:dyDescent="0.35">
      <c r="A7" s="1460"/>
      <c r="B7" s="1419"/>
      <c r="C7" s="1421"/>
      <c r="D7" s="1423"/>
      <c r="E7" s="1373"/>
      <c r="F7" s="1415"/>
      <c r="G7" s="1416"/>
      <c r="H7" s="1416"/>
      <c r="I7" s="1416"/>
      <c r="J7" s="1416"/>
      <c r="K7" s="1416"/>
      <c r="L7" s="1416"/>
      <c r="M7" s="1416"/>
      <c r="N7" s="1417"/>
      <c r="O7" s="1423"/>
      <c r="P7" s="1423"/>
      <c r="Q7" s="456"/>
      <c r="R7" s="456"/>
      <c r="S7" s="1425"/>
      <c r="T7" s="487"/>
      <c r="U7" s="326"/>
      <c r="V7" s="1425"/>
      <c r="W7" s="487"/>
      <c r="X7" s="599"/>
      <c r="Y7" s="1425"/>
      <c r="Z7" s="487"/>
      <c r="AA7" s="1174"/>
      <c r="AB7" s="599"/>
      <c r="AC7" s="1425"/>
      <c r="AD7" s="487"/>
      <c r="AE7" s="751"/>
      <c r="AF7" s="1175"/>
      <c r="AG7" s="1310"/>
      <c r="AH7" s="1276"/>
      <c r="AI7" s="1431"/>
      <c r="AJ7" s="1429"/>
      <c r="AK7" s="696"/>
      <c r="AL7" s="564"/>
      <c r="AM7" s="564"/>
      <c r="AN7" s="564"/>
      <c r="AO7" s="663"/>
      <c r="AP7" s="663"/>
      <c r="AQ7" s="711"/>
      <c r="AR7" s="585"/>
      <c r="AS7" s="663"/>
      <c r="AT7" s="663"/>
      <c r="AU7" s="663"/>
      <c r="AV7" s="663"/>
      <c r="AW7" s="663"/>
      <c r="AX7" s="663"/>
      <c r="AY7" s="663"/>
      <c r="AZ7" s="663"/>
      <c r="BA7" s="663"/>
      <c r="BB7" s="663"/>
      <c r="BC7" s="663"/>
      <c r="BD7" s="663"/>
      <c r="BE7" s="710"/>
      <c r="BF7" s="908"/>
      <c r="BG7" s="663"/>
      <c r="BH7" s="1307"/>
      <c r="BI7" s="1433"/>
    </row>
    <row r="8" spans="1:65" ht="17.25" customHeight="1" x14ac:dyDescent="0.35">
      <c r="A8" s="821"/>
      <c r="B8" s="795"/>
      <c r="C8" s="1176" t="s">
        <v>1582</v>
      </c>
      <c r="D8" s="302"/>
      <c r="E8" s="303"/>
      <c r="F8" s="303"/>
      <c r="G8" s="303"/>
      <c r="H8" s="303"/>
      <c r="I8" s="303"/>
      <c r="J8" s="303"/>
      <c r="K8" s="303"/>
      <c r="L8" s="303"/>
      <c r="M8" s="303"/>
      <c r="N8" s="307"/>
      <c r="O8" s="303"/>
      <c r="P8" s="302"/>
      <c r="Q8" s="305"/>
      <c r="R8" s="305"/>
      <c r="S8" s="306"/>
      <c r="T8" s="560"/>
      <c r="U8" s="305"/>
      <c r="V8" s="305"/>
      <c r="W8" s="506"/>
      <c r="X8" s="584"/>
      <c r="Y8" s="307"/>
      <c r="Z8" s="560"/>
      <c r="AA8" s="621"/>
      <c r="AB8" s="584"/>
      <c r="AC8" s="307"/>
      <c r="AD8" s="560"/>
      <c r="AE8" s="305"/>
      <c r="AF8" s="1075"/>
      <c r="AG8" s="821"/>
      <c r="AH8" s="821"/>
      <c r="AI8" s="800"/>
      <c r="AJ8" s="1177" t="s">
        <v>1582</v>
      </c>
      <c r="AK8" s="802"/>
      <c r="AL8" s="803"/>
      <c r="AM8" s="804"/>
      <c r="AN8" s="803"/>
      <c r="AO8" s="803"/>
      <c r="AP8" s="803"/>
      <c r="AQ8" s="804"/>
      <c r="AR8" s="805"/>
      <c r="AS8" s="803"/>
      <c r="AT8" s="803"/>
      <c r="AU8" s="803"/>
      <c r="AV8" s="803"/>
      <c r="AW8" s="803"/>
      <c r="AX8" s="803"/>
      <c r="AY8" s="803"/>
      <c r="AZ8" s="803"/>
      <c r="BA8" s="803"/>
      <c r="BB8" s="803"/>
      <c r="BC8" s="803"/>
      <c r="BD8" s="803"/>
      <c r="BE8" s="1144"/>
      <c r="BF8" s="805"/>
      <c r="BG8" s="302"/>
      <c r="BH8" s="570"/>
      <c r="BI8" s="821"/>
      <c r="BJ8" s="823"/>
      <c r="BK8" s="807"/>
      <c r="BL8" s="807"/>
    </row>
    <row r="9" spans="1:65" ht="125.15" customHeight="1" x14ac:dyDescent="0.35">
      <c r="A9" s="1459">
        <v>2</v>
      </c>
      <c r="B9" s="1358" t="s">
        <v>1583</v>
      </c>
      <c r="C9" s="1281" t="s">
        <v>1584</v>
      </c>
      <c r="D9" s="1281" t="s">
        <v>1585</v>
      </c>
      <c r="E9" s="1470"/>
      <c r="F9" s="1081"/>
      <c r="G9" s="826"/>
      <c r="H9" s="826"/>
      <c r="I9" s="826"/>
      <c r="J9" s="827"/>
      <c r="K9" s="826"/>
      <c r="L9" s="826"/>
      <c r="M9" s="826"/>
      <c r="N9" s="828"/>
      <c r="O9" s="1281" t="s">
        <v>1435</v>
      </c>
      <c r="P9" s="1281" t="s">
        <v>1586</v>
      </c>
      <c r="Q9" s="330"/>
      <c r="R9" s="330"/>
      <c r="S9" s="1268" t="s">
        <v>1587</v>
      </c>
      <c r="T9" s="1311" t="s">
        <v>1588</v>
      </c>
      <c r="U9" s="566"/>
      <c r="V9" s="1268" t="s">
        <v>1589</v>
      </c>
      <c r="W9" s="612"/>
      <c r="X9" s="582" t="s">
        <v>1590</v>
      </c>
      <c r="Y9" s="1268" t="s">
        <v>1591</v>
      </c>
      <c r="Z9" s="1311" t="s">
        <v>1592</v>
      </c>
      <c r="AA9" s="624"/>
      <c r="AB9" s="582" t="s">
        <v>1590</v>
      </c>
      <c r="AC9" s="1268" t="s">
        <v>1591</v>
      </c>
      <c r="AD9" s="1311" t="s">
        <v>1592</v>
      </c>
      <c r="AE9" s="329"/>
      <c r="AF9" s="1472"/>
      <c r="AG9" s="1309">
        <v>2</v>
      </c>
      <c r="AH9" s="1275">
        <v>2</v>
      </c>
      <c r="AI9" s="1271" t="s">
        <v>1583</v>
      </c>
      <c r="AJ9" s="1293" t="s">
        <v>1584</v>
      </c>
      <c r="AK9" s="1091"/>
      <c r="AL9" s="1091"/>
      <c r="AM9" s="1099"/>
      <c r="AN9" s="1099"/>
      <c r="AO9" s="493"/>
      <c r="AP9" s="1099"/>
      <c r="AQ9" s="1099"/>
      <c r="AR9" s="589" t="s">
        <v>1590</v>
      </c>
      <c r="AS9" s="569" t="s">
        <v>1590</v>
      </c>
      <c r="AT9" s="569" t="s">
        <v>1590</v>
      </c>
      <c r="AU9" s="569" t="s">
        <v>1590</v>
      </c>
      <c r="AV9" s="569" t="s">
        <v>1590</v>
      </c>
      <c r="AW9" s="569" t="s">
        <v>1590</v>
      </c>
      <c r="AX9" s="569" t="s">
        <v>1590</v>
      </c>
      <c r="AY9" s="569" t="s">
        <v>1590</v>
      </c>
      <c r="AZ9" s="569" t="s">
        <v>1590</v>
      </c>
      <c r="BA9" s="569" t="s">
        <v>1590</v>
      </c>
      <c r="BB9" s="569" t="s">
        <v>1590</v>
      </c>
      <c r="BC9" s="569" t="s">
        <v>1590</v>
      </c>
      <c r="BD9" s="569" t="s">
        <v>1590</v>
      </c>
      <c r="BE9" s="708" t="s">
        <v>1590</v>
      </c>
      <c r="BF9" s="834" t="s">
        <v>1590</v>
      </c>
      <c r="BG9" s="727" t="s">
        <v>1590</v>
      </c>
      <c r="BH9" s="815"/>
      <c r="BI9" s="1432">
        <v>2</v>
      </c>
      <c r="BJ9" s="823"/>
      <c r="BK9" s="1316"/>
      <c r="BL9" s="1316"/>
    </row>
    <row r="10" spans="1:65" ht="200.15" customHeight="1" x14ac:dyDescent="0.35">
      <c r="A10" s="1460"/>
      <c r="B10" s="1359"/>
      <c r="C10" s="1282"/>
      <c r="D10" s="1282"/>
      <c r="E10" s="1471"/>
      <c r="F10" s="1313" t="s">
        <v>1593</v>
      </c>
      <c r="G10" s="1314"/>
      <c r="H10" s="1314"/>
      <c r="I10" s="1314"/>
      <c r="J10" s="1314"/>
      <c r="K10" s="1314"/>
      <c r="L10" s="1314"/>
      <c r="M10" s="1314"/>
      <c r="N10" s="1315"/>
      <c r="O10" s="1282"/>
      <c r="P10" s="1282"/>
      <c r="Q10" s="456">
        <v>312703</v>
      </c>
      <c r="R10" s="456">
        <v>349600</v>
      </c>
      <c r="S10" s="1270"/>
      <c r="T10" s="1312"/>
      <c r="U10" s="565">
        <v>17921</v>
      </c>
      <c r="V10" s="1270"/>
      <c r="W10" s="613">
        <f>Q10-U10</f>
        <v>294782</v>
      </c>
      <c r="X10" s="585"/>
      <c r="Y10" s="1270"/>
      <c r="Z10" s="1312"/>
      <c r="AA10" s="625"/>
      <c r="AB10" s="585"/>
      <c r="AC10" s="1270"/>
      <c r="AD10" s="1312"/>
      <c r="AE10" s="328"/>
      <c r="AF10" s="1473"/>
      <c r="AG10" s="1310"/>
      <c r="AH10" s="1276"/>
      <c r="AI10" s="1272"/>
      <c r="AJ10" s="1295"/>
      <c r="AK10" s="629"/>
      <c r="AL10" s="477"/>
      <c r="AM10" s="488"/>
      <c r="AN10" s="488"/>
      <c r="AO10" s="477"/>
      <c r="AP10" s="488"/>
      <c r="AQ10" s="488"/>
      <c r="AR10" s="585"/>
      <c r="AS10" s="663"/>
      <c r="AT10" s="663"/>
      <c r="AU10" s="663"/>
      <c r="AV10" s="663"/>
      <c r="AW10" s="663"/>
      <c r="AX10" s="663"/>
      <c r="AY10" s="663"/>
      <c r="AZ10" s="663"/>
      <c r="BA10" s="663"/>
      <c r="BB10" s="663"/>
      <c r="BC10" s="663"/>
      <c r="BD10" s="663"/>
      <c r="BE10" s="710"/>
      <c r="BF10" s="585"/>
      <c r="BG10" s="663"/>
      <c r="BH10" s="817"/>
      <c r="BI10" s="1433"/>
      <c r="BJ10" s="823"/>
      <c r="BK10" s="1317"/>
      <c r="BL10" s="1317"/>
    </row>
    <row r="11" spans="1:65" ht="125.15" customHeight="1" x14ac:dyDescent="0.35">
      <c r="A11" s="1459">
        <v>3</v>
      </c>
      <c r="B11" s="1358" t="s">
        <v>1594</v>
      </c>
      <c r="C11" s="1281" t="s">
        <v>1595</v>
      </c>
      <c r="D11" s="1281" t="s">
        <v>1585</v>
      </c>
      <c r="E11" s="1470"/>
      <c r="F11" s="851"/>
      <c r="G11" s="826"/>
      <c r="H11" s="826"/>
      <c r="I11" s="826"/>
      <c r="J11" s="826"/>
      <c r="K11" s="826"/>
      <c r="L11" s="826"/>
      <c r="M11" s="826"/>
      <c r="N11" s="828"/>
      <c r="O11" s="1281" t="s">
        <v>1435</v>
      </c>
      <c r="P11" s="1281" t="s">
        <v>1596</v>
      </c>
      <c r="Q11" s="329"/>
      <c r="R11" s="324"/>
      <c r="S11" s="1268" t="s">
        <v>1597</v>
      </c>
      <c r="T11" s="1311"/>
      <c r="U11" s="329"/>
      <c r="V11" s="1268"/>
      <c r="W11" s="489"/>
      <c r="X11" s="610"/>
      <c r="Y11" s="1268" t="s">
        <v>1591</v>
      </c>
      <c r="Z11" s="1311"/>
      <c r="AA11" s="624"/>
      <c r="AB11" s="582" t="s">
        <v>1590</v>
      </c>
      <c r="AC11" s="1268" t="s">
        <v>1591</v>
      </c>
      <c r="AD11" s="1311" t="s">
        <v>1592</v>
      </c>
      <c r="AE11" s="329"/>
      <c r="AF11" s="1457"/>
      <c r="AG11" s="1309">
        <v>3</v>
      </c>
      <c r="AH11" s="1275">
        <v>3</v>
      </c>
      <c r="AI11" s="1271" t="s">
        <v>1594</v>
      </c>
      <c r="AJ11" s="1293" t="s">
        <v>1595</v>
      </c>
      <c r="AK11" s="1091"/>
      <c r="AL11" s="329"/>
      <c r="AM11" s="329"/>
      <c r="AN11" s="329"/>
      <c r="AO11" s="1087"/>
      <c r="AP11" s="329"/>
      <c r="AQ11" s="489"/>
      <c r="AR11" s="589" t="s">
        <v>1590</v>
      </c>
      <c r="AS11" s="569" t="s">
        <v>1590</v>
      </c>
      <c r="AT11" s="569" t="s">
        <v>1590</v>
      </c>
      <c r="AU11" s="569" t="s">
        <v>1590</v>
      </c>
      <c r="AV11" s="569" t="s">
        <v>1590</v>
      </c>
      <c r="AW11" s="569" t="s">
        <v>1590</v>
      </c>
      <c r="AX11" s="569" t="s">
        <v>1590</v>
      </c>
      <c r="AY11" s="569" t="s">
        <v>1590</v>
      </c>
      <c r="AZ11" s="569" t="s">
        <v>1590</v>
      </c>
      <c r="BA11" s="569" t="s">
        <v>1590</v>
      </c>
      <c r="BB11" s="569" t="s">
        <v>1590</v>
      </c>
      <c r="BC11" s="569" t="s">
        <v>1590</v>
      </c>
      <c r="BD11" s="569" t="s">
        <v>1590</v>
      </c>
      <c r="BE11" s="708" t="s">
        <v>1590</v>
      </c>
      <c r="BF11" s="589" t="s">
        <v>1590</v>
      </c>
      <c r="BG11" s="569" t="s">
        <v>1590</v>
      </c>
      <c r="BH11" s="1088"/>
      <c r="BI11" s="1432">
        <v>3</v>
      </c>
      <c r="BJ11" s="823"/>
      <c r="BK11" s="1316"/>
      <c r="BL11" s="1316"/>
    </row>
    <row r="12" spans="1:65" ht="125.15" customHeight="1" x14ac:dyDescent="0.35">
      <c r="A12" s="1460"/>
      <c r="B12" s="1359"/>
      <c r="C12" s="1282"/>
      <c r="D12" s="1282"/>
      <c r="E12" s="1471"/>
      <c r="F12" s="1313" t="s">
        <v>1593</v>
      </c>
      <c r="G12" s="1314"/>
      <c r="H12" s="1314"/>
      <c r="I12" s="1314"/>
      <c r="J12" s="1314"/>
      <c r="K12" s="1314"/>
      <c r="L12" s="1314"/>
      <c r="M12" s="1314"/>
      <c r="N12" s="1315"/>
      <c r="O12" s="1282"/>
      <c r="P12" s="1282"/>
      <c r="Q12" s="328"/>
      <c r="R12" s="323"/>
      <c r="S12" s="1270"/>
      <c r="T12" s="1312"/>
      <c r="U12" s="328"/>
      <c r="V12" s="1270"/>
      <c r="W12" s="583"/>
      <c r="X12" s="598"/>
      <c r="Y12" s="1270"/>
      <c r="Z12" s="1312"/>
      <c r="AA12" s="625"/>
      <c r="AB12" s="585"/>
      <c r="AC12" s="1270"/>
      <c r="AD12" s="1312"/>
      <c r="AE12" s="328"/>
      <c r="AF12" s="1458"/>
      <c r="AG12" s="1310"/>
      <c r="AH12" s="1276"/>
      <c r="AI12" s="1272"/>
      <c r="AJ12" s="1295"/>
      <c r="AK12" s="629"/>
      <c r="AL12" s="477"/>
      <c r="AM12" s="488"/>
      <c r="AN12" s="477"/>
      <c r="AO12" s="1089"/>
      <c r="AP12" s="488"/>
      <c r="AQ12" s="488"/>
      <c r="AR12" s="585"/>
      <c r="AS12" s="663"/>
      <c r="AT12" s="663"/>
      <c r="AU12" s="663"/>
      <c r="AV12" s="663"/>
      <c r="AW12" s="663"/>
      <c r="AX12" s="663"/>
      <c r="AY12" s="663"/>
      <c r="AZ12" s="663"/>
      <c r="BA12" s="663"/>
      <c r="BB12" s="663"/>
      <c r="BC12" s="663"/>
      <c r="BD12" s="663"/>
      <c r="BE12" s="710"/>
      <c r="BF12" s="585"/>
      <c r="BG12" s="663"/>
      <c r="BH12" s="817"/>
      <c r="BI12" s="1433"/>
      <c r="BJ12" s="823"/>
      <c r="BK12" s="1317"/>
      <c r="BL12" s="1317"/>
    </row>
    <row r="13" spans="1:65" ht="125.15" customHeight="1" x14ac:dyDescent="0.35">
      <c r="A13" s="1459">
        <v>4</v>
      </c>
      <c r="B13" s="1358" t="s">
        <v>1598</v>
      </c>
      <c r="C13" s="1281" t="s">
        <v>1599</v>
      </c>
      <c r="D13" s="1281" t="s">
        <v>1600</v>
      </c>
      <c r="E13" s="1470"/>
      <c r="F13" s="851"/>
      <c r="G13" s="826"/>
      <c r="H13" s="826"/>
      <c r="I13" s="826"/>
      <c r="J13" s="826"/>
      <c r="K13" s="826"/>
      <c r="L13" s="852"/>
      <c r="M13" s="826"/>
      <c r="N13" s="828"/>
      <c r="O13" s="1281" t="s">
        <v>632</v>
      </c>
      <c r="P13" s="1281" t="s">
        <v>1601</v>
      </c>
      <c r="Q13" s="324" t="s">
        <v>1602</v>
      </c>
      <c r="R13" s="324"/>
      <c r="S13" s="1281" t="s">
        <v>1603</v>
      </c>
      <c r="T13" s="1549"/>
      <c r="U13" s="329"/>
      <c r="V13" s="1268"/>
      <c r="W13" s="489"/>
      <c r="X13" s="589" t="s">
        <v>1602</v>
      </c>
      <c r="Y13" s="1268" t="s">
        <v>1604</v>
      </c>
      <c r="Z13" s="1268"/>
      <c r="AA13" s="624"/>
      <c r="AB13" s="618"/>
      <c r="AC13" s="1268"/>
      <c r="AD13" s="1268"/>
      <c r="AE13" s="329"/>
      <c r="AF13" s="1472"/>
      <c r="AG13" s="1309">
        <v>4</v>
      </c>
      <c r="AH13" s="1275">
        <v>4</v>
      </c>
      <c r="AI13" s="1271" t="s">
        <v>1598</v>
      </c>
      <c r="AJ13" s="1293" t="s">
        <v>1599</v>
      </c>
      <c r="AK13" s="1093"/>
      <c r="AL13" s="493"/>
      <c r="AM13" s="493"/>
      <c r="AN13" s="1091"/>
      <c r="AO13" s="493"/>
      <c r="AP13" s="569" t="s">
        <v>1605</v>
      </c>
      <c r="AQ13" s="643" t="s">
        <v>1606</v>
      </c>
      <c r="AR13" s="597"/>
      <c r="AS13" s="493"/>
      <c r="AT13" s="493"/>
      <c r="AU13" s="493"/>
      <c r="AV13" s="493"/>
      <c r="AW13" s="493"/>
      <c r="AX13" s="493"/>
      <c r="AY13" s="493"/>
      <c r="AZ13" s="493"/>
      <c r="BA13" s="493"/>
      <c r="BB13" s="493"/>
      <c r="BC13" s="493"/>
      <c r="BD13" s="493"/>
      <c r="BE13" s="1145"/>
      <c r="BF13" s="885"/>
      <c r="BG13" s="752"/>
      <c r="BH13" s="815"/>
      <c r="BI13" s="1432">
        <v>4</v>
      </c>
      <c r="BJ13" s="823"/>
      <c r="BK13" s="1316"/>
      <c r="BL13" s="1316"/>
    </row>
    <row r="14" spans="1:65" ht="125.15" customHeight="1" x14ac:dyDescent="0.35">
      <c r="A14" s="1460"/>
      <c r="B14" s="1359"/>
      <c r="C14" s="1282"/>
      <c r="D14" s="1282"/>
      <c r="E14" s="1471"/>
      <c r="F14" s="1313" t="s">
        <v>1593</v>
      </c>
      <c r="G14" s="1314"/>
      <c r="H14" s="1314"/>
      <c r="I14" s="1314"/>
      <c r="J14" s="1314"/>
      <c r="K14" s="1314"/>
      <c r="L14" s="1314"/>
      <c r="M14" s="1314"/>
      <c r="N14" s="1315"/>
      <c r="O14" s="1282"/>
      <c r="P14" s="1282"/>
      <c r="Q14" s="323"/>
      <c r="R14" s="323"/>
      <c r="S14" s="1282"/>
      <c r="T14" s="1550"/>
      <c r="U14" s="328"/>
      <c r="V14" s="1270"/>
      <c r="W14" s="583"/>
      <c r="X14" s="585"/>
      <c r="Y14" s="1270"/>
      <c r="Z14" s="1270"/>
      <c r="AA14" s="625"/>
      <c r="AB14" s="598"/>
      <c r="AC14" s="1270"/>
      <c r="AD14" s="1270"/>
      <c r="AE14" s="328"/>
      <c r="AF14" s="1473"/>
      <c r="AG14" s="1310"/>
      <c r="AH14" s="1276"/>
      <c r="AI14" s="1272"/>
      <c r="AJ14" s="1295"/>
      <c r="AK14" s="629"/>
      <c r="AL14" s="629"/>
      <c r="AM14" s="629"/>
      <c r="AN14" s="629"/>
      <c r="AO14" s="477"/>
      <c r="AP14" s="663"/>
      <c r="AQ14" s="711"/>
      <c r="AR14" s="628"/>
      <c r="AS14" s="477"/>
      <c r="AT14" s="477"/>
      <c r="AU14" s="477"/>
      <c r="AV14" s="477"/>
      <c r="AW14" s="477"/>
      <c r="AX14" s="477"/>
      <c r="AY14" s="477"/>
      <c r="AZ14" s="477"/>
      <c r="BA14" s="477"/>
      <c r="BB14" s="477"/>
      <c r="BC14" s="477"/>
      <c r="BD14" s="477"/>
      <c r="BE14" s="1146"/>
      <c r="BF14" s="902"/>
      <c r="BG14" s="753"/>
      <c r="BH14" s="817"/>
      <c r="BI14" s="1433"/>
      <c r="BJ14" s="823"/>
      <c r="BK14" s="1317"/>
      <c r="BL14" s="1317"/>
    </row>
    <row r="15" spans="1:65" ht="125.15" customHeight="1" x14ac:dyDescent="0.35">
      <c r="A15" s="1459">
        <v>5</v>
      </c>
      <c r="B15" s="1358" t="s">
        <v>1466</v>
      </c>
      <c r="C15" s="1281" t="s">
        <v>1607</v>
      </c>
      <c r="D15" s="1281" t="s">
        <v>1585</v>
      </c>
      <c r="E15" s="1470"/>
      <c r="F15" s="856"/>
      <c r="G15" s="857"/>
      <c r="H15" s="857"/>
      <c r="I15" s="857"/>
      <c r="J15" s="857"/>
      <c r="K15" s="857"/>
      <c r="L15" s="857"/>
      <c r="M15" s="857"/>
      <c r="N15" s="858"/>
      <c r="O15" s="1281"/>
      <c r="P15" s="1281" t="s">
        <v>1608</v>
      </c>
      <c r="Q15" s="324" t="s">
        <v>1609</v>
      </c>
      <c r="R15" s="324"/>
      <c r="S15" s="1268" t="s">
        <v>1610</v>
      </c>
      <c r="T15" s="1311"/>
      <c r="U15" s="329"/>
      <c r="V15" s="1268"/>
      <c r="W15" s="489"/>
      <c r="X15" s="589" t="s">
        <v>1609</v>
      </c>
      <c r="Y15" s="1281" t="s">
        <v>1611</v>
      </c>
      <c r="Z15" s="1311"/>
      <c r="AA15" s="624"/>
      <c r="AB15" s="589" t="s">
        <v>1609</v>
      </c>
      <c r="AC15" s="329"/>
      <c r="AD15" s="1268"/>
      <c r="AE15" s="329"/>
      <c r="AF15" s="1125"/>
      <c r="AG15" s="1309">
        <v>5</v>
      </c>
      <c r="AH15" s="1275">
        <v>5</v>
      </c>
      <c r="AI15" s="1271" t="s">
        <v>1466</v>
      </c>
      <c r="AJ15" s="1293" t="s">
        <v>1607</v>
      </c>
      <c r="AK15" s="600" t="s">
        <v>1609</v>
      </c>
      <c r="AL15" s="569" t="s">
        <v>1609</v>
      </c>
      <c r="AM15" s="569" t="s">
        <v>1609</v>
      </c>
      <c r="AN15" s="569" t="s">
        <v>1609</v>
      </c>
      <c r="AO15" s="329"/>
      <c r="AP15" s="569" t="s">
        <v>1609</v>
      </c>
      <c r="AQ15" s="643" t="s">
        <v>1609</v>
      </c>
      <c r="AR15" s="589" t="s">
        <v>1609</v>
      </c>
      <c r="AS15" s="886"/>
      <c r="AT15" s="886"/>
      <c r="AU15" s="886"/>
      <c r="AV15" s="886"/>
      <c r="AW15" s="886"/>
      <c r="AX15" s="886"/>
      <c r="AY15" s="886"/>
      <c r="AZ15" s="886"/>
      <c r="BA15" s="886"/>
      <c r="BB15" s="886"/>
      <c r="BC15" s="886"/>
      <c r="BD15" s="886"/>
      <c r="BE15" s="1088"/>
      <c r="BF15" s="589" t="s">
        <v>1609</v>
      </c>
      <c r="BG15" s="569" t="s">
        <v>1609</v>
      </c>
      <c r="BH15" s="888"/>
      <c r="BI15" s="1432">
        <v>5</v>
      </c>
      <c r="BJ15" s="823"/>
      <c r="BK15" s="1316"/>
      <c r="BL15" s="1316"/>
    </row>
    <row r="16" spans="1:65" ht="125.15" customHeight="1" x14ac:dyDescent="0.35">
      <c r="A16" s="1460"/>
      <c r="B16" s="1359"/>
      <c r="C16" s="1282"/>
      <c r="D16" s="1282"/>
      <c r="E16" s="1471"/>
      <c r="F16" s="1313" t="s">
        <v>1593</v>
      </c>
      <c r="G16" s="1314"/>
      <c r="H16" s="1314"/>
      <c r="I16" s="1314"/>
      <c r="J16" s="1314"/>
      <c r="K16" s="1314"/>
      <c r="L16" s="1314"/>
      <c r="M16" s="1314"/>
      <c r="N16" s="1315"/>
      <c r="O16" s="1282"/>
      <c r="P16" s="1282"/>
      <c r="Q16" s="323"/>
      <c r="R16" s="323"/>
      <c r="S16" s="1270"/>
      <c r="T16" s="1312"/>
      <c r="U16" s="328"/>
      <c r="V16" s="1270"/>
      <c r="W16" s="583"/>
      <c r="X16" s="585"/>
      <c r="Y16" s="1282"/>
      <c r="Z16" s="1312"/>
      <c r="AA16" s="625"/>
      <c r="AB16" s="585"/>
      <c r="AC16" s="328"/>
      <c r="AD16" s="1270"/>
      <c r="AE16" s="328"/>
      <c r="AF16" s="1126"/>
      <c r="AG16" s="1310"/>
      <c r="AH16" s="1276"/>
      <c r="AI16" s="1272"/>
      <c r="AJ16" s="1295"/>
      <c r="AK16" s="699"/>
      <c r="AL16" s="663"/>
      <c r="AM16" s="663"/>
      <c r="AN16" s="663"/>
      <c r="AO16" s="477"/>
      <c r="AP16" s="663"/>
      <c r="AQ16" s="711"/>
      <c r="AR16" s="585"/>
      <c r="AS16" s="899"/>
      <c r="AT16" s="899"/>
      <c r="AU16" s="899"/>
      <c r="AV16" s="899"/>
      <c r="AW16" s="899"/>
      <c r="AX16" s="899"/>
      <c r="AY16" s="899"/>
      <c r="AZ16" s="899"/>
      <c r="BA16" s="899"/>
      <c r="BB16" s="899"/>
      <c r="BC16" s="899"/>
      <c r="BD16" s="899"/>
      <c r="BE16" s="1148"/>
      <c r="BF16" s="585"/>
      <c r="BG16" s="663"/>
      <c r="BH16" s="903"/>
      <c r="BI16" s="1433"/>
      <c r="BJ16" s="823"/>
      <c r="BK16" s="1317"/>
      <c r="BL16" s="1317"/>
    </row>
    <row r="17" spans="1:65" ht="125.15" customHeight="1" x14ac:dyDescent="0.35">
      <c r="A17" s="1459">
        <v>6</v>
      </c>
      <c r="B17" s="1358" t="s">
        <v>1612</v>
      </c>
      <c r="C17" s="1281" t="s">
        <v>1613</v>
      </c>
      <c r="D17" s="1281" t="s">
        <v>1614</v>
      </c>
      <c r="E17" s="1470"/>
      <c r="F17" s="856"/>
      <c r="G17" s="857"/>
      <c r="H17" s="857"/>
      <c r="I17" s="857"/>
      <c r="J17" s="857"/>
      <c r="K17" s="857"/>
      <c r="L17" s="857"/>
      <c r="M17" s="857"/>
      <c r="N17" s="858"/>
      <c r="O17" s="1281" t="s">
        <v>1615</v>
      </c>
      <c r="P17" s="1281" t="s">
        <v>1616</v>
      </c>
      <c r="Q17" s="324"/>
      <c r="R17" s="324" t="s">
        <v>2187</v>
      </c>
      <c r="S17" s="1268" t="s">
        <v>2298</v>
      </c>
      <c r="T17" s="1311" t="s">
        <v>1617</v>
      </c>
      <c r="U17" s="329"/>
      <c r="V17" s="1268"/>
      <c r="W17" s="489"/>
      <c r="X17" s="589"/>
      <c r="Y17" s="1281" t="s">
        <v>1618</v>
      </c>
      <c r="Z17" s="1311" t="s">
        <v>1617</v>
      </c>
      <c r="AA17" s="622"/>
      <c r="AB17" s="618"/>
      <c r="AC17" s="1281"/>
      <c r="AD17" s="1311"/>
      <c r="AE17" s="329"/>
      <c r="AF17" s="1125"/>
      <c r="AG17" s="1309">
        <v>6</v>
      </c>
      <c r="AH17" s="1275">
        <v>6</v>
      </c>
      <c r="AI17" s="1271" t="s">
        <v>1612</v>
      </c>
      <c r="AJ17" s="1293" t="s">
        <v>1613</v>
      </c>
      <c r="AK17" s="833" t="s">
        <v>1619</v>
      </c>
      <c r="AL17" s="833" t="s">
        <v>1619</v>
      </c>
      <c r="AM17" s="752"/>
      <c r="AN17" s="752"/>
      <c r="AO17" s="329"/>
      <c r="AP17" s="752"/>
      <c r="AQ17" s="884"/>
      <c r="AR17" s="885"/>
      <c r="AS17" s="886"/>
      <c r="AT17" s="886"/>
      <c r="AU17" s="886"/>
      <c r="AV17" s="886"/>
      <c r="AW17" s="886"/>
      <c r="AX17" s="886"/>
      <c r="AY17" s="886"/>
      <c r="AZ17" s="886"/>
      <c r="BA17" s="886"/>
      <c r="BB17" s="886"/>
      <c r="BC17" s="886"/>
      <c r="BD17" s="886"/>
      <c r="BE17" s="1088"/>
      <c r="BF17" s="885"/>
      <c r="BG17" s="886"/>
      <c r="BH17" s="888"/>
      <c r="BI17" s="1432">
        <v>6</v>
      </c>
      <c r="BJ17" s="823"/>
      <c r="BK17" s="1316"/>
      <c r="BL17" s="1316"/>
    </row>
    <row r="18" spans="1:65" ht="125.15" customHeight="1" x14ac:dyDescent="0.35">
      <c r="A18" s="1460"/>
      <c r="B18" s="1359"/>
      <c r="C18" s="1282"/>
      <c r="D18" s="1282"/>
      <c r="E18" s="1471"/>
      <c r="F18" s="1313" t="s">
        <v>2299</v>
      </c>
      <c r="G18" s="1314"/>
      <c r="H18" s="1314"/>
      <c r="I18" s="1314"/>
      <c r="J18" s="1314"/>
      <c r="K18" s="1314"/>
      <c r="L18" s="1314"/>
      <c r="M18" s="1314"/>
      <c r="N18" s="1315"/>
      <c r="O18" s="1282"/>
      <c r="P18" s="1282"/>
      <c r="Q18" s="456">
        <v>5996072</v>
      </c>
      <c r="R18" s="456"/>
      <c r="S18" s="1270"/>
      <c r="T18" s="1312"/>
      <c r="U18" s="328"/>
      <c r="V18" s="1270"/>
      <c r="W18" s="583"/>
      <c r="X18" s="599">
        <f>Q18</f>
        <v>5996072</v>
      </c>
      <c r="Y18" s="1282"/>
      <c r="Z18" s="1312"/>
      <c r="AA18" s="623">
        <f>X18-(SUM(AK18:BH18))</f>
        <v>2613572</v>
      </c>
      <c r="AB18" s="628"/>
      <c r="AC18" s="1282"/>
      <c r="AD18" s="1312"/>
      <c r="AE18" s="328"/>
      <c r="AF18" s="1126"/>
      <c r="AG18" s="1310"/>
      <c r="AH18" s="1276"/>
      <c r="AI18" s="1272"/>
      <c r="AJ18" s="1295"/>
      <c r="AK18" s="731">
        <v>3000000</v>
      </c>
      <c r="AL18" s="907">
        <v>382500</v>
      </c>
      <c r="AM18" s="899"/>
      <c r="AN18" s="899"/>
      <c r="AO18" s="477"/>
      <c r="AP18" s="899"/>
      <c r="AQ18" s="900"/>
      <c r="AR18" s="901"/>
      <c r="AS18" s="899"/>
      <c r="AT18" s="899"/>
      <c r="AU18" s="899"/>
      <c r="AV18" s="899"/>
      <c r="AW18" s="899"/>
      <c r="AX18" s="899"/>
      <c r="AY18" s="899"/>
      <c r="AZ18" s="899"/>
      <c r="BA18" s="899"/>
      <c r="BB18" s="899"/>
      <c r="BC18" s="899"/>
      <c r="BD18" s="899"/>
      <c r="BE18" s="1148"/>
      <c r="BF18" s="902"/>
      <c r="BG18" s="899"/>
      <c r="BH18" s="903"/>
      <c r="BI18" s="1433"/>
      <c r="BJ18" s="823"/>
      <c r="BK18" s="1317"/>
      <c r="BL18" s="1317"/>
    </row>
    <row r="19" spans="1:65" ht="17.25" customHeight="1" x14ac:dyDescent="0.35">
      <c r="A19" s="821"/>
      <c r="B19" s="795"/>
      <c r="C19" s="1176" t="s">
        <v>1620</v>
      </c>
      <c r="D19" s="302"/>
      <c r="E19" s="303"/>
      <c r="F19" s="303"/>
      <c r="G19" s="303"/>
      <c r="H19" s="303"/>
      <c r="I19" s="303"/>
      <c r="J19" s="303"/>
      <c r="K19" s="303"/>
      <c r="L19" s="303"/>
      <c r="M19" s="303"/>
      <c r="N19" s="307"/>
      <c r="O19" s="303"/>
      <c r="P19" s="302"/>
      <c r="Q19" s="305"/>
      <c r="R19" s="305"/>
      <c r="S19" s="306"/>
      <c r="T19" s="560"/>
      <c r="U19" s="305"/>
      <c r="V19" s="305"/>
      <c r="W19" s="506"/>
      <c r="X19" s="584"/>
      <c r="Y19" s="307"/>
      <c r="Z19" s="560"/>
      <c r="AA19" s="621"/>
      <c r="AB19" s="584"/>
      <c r="AC19" s="307"/>
      <c r="AD19" s="560"/>
      <c r="AE19" s="305"/>
      <c r="AF19" s="1075"/>
      <c r="AG19" s="821"/>
      <c r="AH19" s="821"/>
      <c r="AI19" s="800"/>
      <c r="AJ19" s="1177" t="s">
        <v>1620</v>
      </c>
      <c r="AK19" s="802"/>
      <c r="AL19" s="803"/>
      <c r="AM19" s="804"/>
      <c r="AN19" s="803"/>
      <c r="AO19" s="803"/>
      <c r="AP19" s="803"/>
      <c r="AQ19" s="804"/>
      <c r="AR19" s="805"/>
      <c r="AS19" s="803"/>
      <c r="AT19" s="803"/>
      <c r="AU19" s="803"/>
      <c r="AV19" s="803"/>
      <c r="AW19" s="803"/>
      <c r="AX19" s="803"/>
      <c r="AY19" s="803"/>
      <c r="AZ19" s="803"/>
      <c r="BA19" s="803"/>
      <c r="BB19" s="803"/>
      <c r="BC19" s="803"/>
      <c r="BD19" s="803"/>
      <c r="BE19" s="1144"/>
      <c r="BF19" s="805"/>
      <c r="BG19" s="302"/>
      <c r="BH19" s="570"/>
      <c r="BI19" s="821"/>
      <c r="BJ19" s="823"/>
      <c r="BK19" s="807"/>
      <c r="BL19" s="807"/>
    </row>
    <row r="20" spans="1:65" ht="125.15" customHeight="1" x14ac:dyDescent="0.35">
      <c r="A20" s="1459">
        <v>7</v>
      </c>
      <c r="B20" s="1358" t="s">
        <v>1621</v>
      </c>
      <c r="C20" s="1281" t="s">
        <v>1622</v>
      </c>
      <c r="D20" s="1281" t="s">
        <v>1614</v>
      </c>
      <c r="E20" s="1470"/>
      <c r="F20" s="1081"/>
      <c r="G20" s="826"/>
      <c r="H20" s="826"/>
      <c r="I20" s="826"/>
      <c r="J20" s="827"/>
      <c r="K20" s="826"/>
      <c r="L20" s="826"/>
      <c r="M20" s="826"/>
      <c r="N20" s="828"/>
      <c r="O20" s="1281" t="s">
        <v>1623</v>
      </c>
      <c r="P20" s="1281" t="s">
        <v>1624</v>
      </c>
      <c r="Q20" s="330" t="s">
        <v>1625</v>
      </c>
      <c r="R20" s="330"/>
      <c r="S20" s="1281" t="s">
        <v>1626</v>
      </c>
      <c r="T20" s="1311"/>
      <c r="U20" s="329"/>
      <c r="V20" s="1268"/>
      <c r="W20" s="489"/>
      <c r="X20" s="582" t="s">
        <v>1625</v>
      </c>
      <c r="Y20" s="1268" t="s">
        <v>1627</v>
      </c>
      <c r="Z20" s="1311"/>
      <c r="AA20" s="624"/>
      <c r="AB20" s="834" t="s">
        <v>1628</v>
      </c>
      <c r="AC20" s="1268"/>
      <c r="AD20" s="1311"/>
      <c r="AE20" s="329"/>
      <c r="AF20" s="1472"/>
      <c r="AG20" s="1309">
        <v>7</v>
      </c>
      <c r="AH20" s="1275">
        <v>7</v>
      </c>
      <c r="AI20" s="1271" t="s">
        <v>1621</v>
      </c>
      <c r="AJ20" s="1293" t="s">
        <v>1622</v>
      </c>
      <c r="AK20" s="1508" t="s">
        <v>1629</v>
      </c>
      <c r="AL20" s="1508"/>
      <c r="AM20" s="1478" t="s">
        <v>1630</v>
      </c>
      <c r="AN20" s="1479"/>
      <c r="AO20" s="493"/>
      <c r="AP20" s="643" t="s">
        <v>1631</v>
      </c>
      <c r="AQ20" s="643" t="s">
        <v>1632</v>
      </c>
      <c r="AR20" s="589" t="s">
        <v>1633</v>
      </c>
      <c r="AS20" s="569" t="s">
        <v>1634</v>
      </c>
      <c r="AT20" s="569" t="s">
        <v>1634</v>
      </c>
      <c r="AU20" s="569" t="s">
        <v>1634</v>
      </c>
      <c r="AV20" s="569" t="s">
        <v>1634</v>
      </c>
      <c r="AW20" s="569" t="s">
        <v>1634</v>
      </c>
      <c r="AX20" s="569" t="s">
        <v>1634</v>
      </c>
      <c r="AY20" s="569" t="s">
        <v>1634</v>
      </c>
      <c r="AZ20" s="569" t="s">
        <v>1634</v>
      </c>
      <c r="BA20" s="569" t="s">
        <v>1634</v>
      </c>
      <c r="BB20" s="569" t="s">
        <v>1634</v>
      </c>
      <c r="BC20" s="569" t="s">
        <v>1634</v>
      </c>
      <c r="BD20" s="569" t="s">
        <v>1634</v>
      </c>
      <c r="BE20" s="708" t="s">
        <v>1634</v>
      </c>
      <c r="BF20" s="834" t="s">
        <v>1634</v>
      </c>
      <c r="BG20" s="727" t="s">
        <v>1634</v>
      </c>
      <c r="BH20" s="815"/>
      <c r="BI20" s="1432">
        <v>7</v>
      </c>
      <c r="BJ20" s="823"/>
      <c r="BK20" s="1178"/>
      <c r="BL20" s="1178"/>
    </row>
    <row r="21" spans="1:65" ht="125.15" customHeight="1" x14ac:dyDescent="0.35">
      <c r="A21" s="1460"/>
      <c r="B21" s="1359"/>
      <c r="C21" s="1282"/>
      <c r="D21" s="1282"/>
      <c r="E21" s="1471"/>
      <c r="F21" s="1313" t="s">
        <v>1593</v>
      </c>
      <c r="G21" s="1314"/>
      <c r="H21" s="1314"/>
      <c r="I21" s="1314"/>
      <c r="J21" s="1314"/>
      <c r="K21" s="1314"/>
      <c r="L21" s="1314"/>
      <c r="M21" s="1314"/>
      <c r="N21" s="1315"/>
      <c r="O21" s="1282"/>
      <c r="P21" s="1282"/>
      <c r="Q21" s="323"/>
      <c r="R21" s="323"/>
      <c r="S21" s="1282"/>
      <c r="T21" s="1312"/>
      <c r="U21" s="334"/>
      <c r="V21" s="1270"/>
      <c r="W21" s="583"/>
      <c r="X21" s="585"/>
      <c r="Y21" s="1270"/>
      <c r="Z21" s="1312"/>
      <c r="AA21" s="625"/>
      <c r="AB21" s="585"/>
      <c r="AC21" s="1270"/>
      <c r="AD21" s="1312"/>
      <c r="AE21" s="328"/>
      <c r="AF21" s="1473"/>
      <c r="AG21" s="1310"/>
      <c r="AH21" s="1276"/>
      <c r="AI21" s="1272"/>
      <c r="AJ21" s="1295"/>
      <c r="AK21" s="696"/>
      <c r="AL21" s="564"/>
      <c r="AM21" s="697"/>
      <c r="AN21" s="697"/>
      <c r="AO21" s="477"/>
      <c r="AP21" s="697"/>
      <c r="AQ21" s="697"/>
      <c r="AR21" s="585"/>
      <c r="AS21" s="663"/>
      <c r="AT21" s="663"/>
      <c r="AU21" s="663"/>
      <c r="AV21" s="663"/>
      <c r="AW21" s="663"/>
      <c r="AX21" s="663"/>
      <c r="AY21" s="663"/>
      <c r="AZ21" s="663"/>
      <c r="BA21" s="663"/>
      <c r="BB21" s="663"/>
      <c r="BC21" s="663"/>
      <c r="BD21" s="663"/>
      <c r="BE21" s="710"/>
      <c r="BF21" s="585"/>
      <c r="BG21" s="663"/>
      <c r="BH21" s="817"/>
      <c r="BI21" s="1433"/>
      <c r="BJ21" s="860"/>
      <c r="BK21" s="1179"/>
      <c r="BL21" s="1179"/>
    </row>
    <row r="22" spans="1:65" ht="125.15" customHeight="1" x14ac:dyDescent="0.35">
      <c r="A22" s="1459">
        <v>8</v>
      </c>
      <c r="B22" s="1358" t="s">
        <v>1635</v>
      </c>
      <c r="C22" s="1281" t="s">
        <v>1636</v>
      </c>
      <c r="D22" s="1281" t="s">
        <v>1614</v>
      </c>
      <c r="E22" s="1470"/>
      <c r="F22" s="851"/>
      <c r="G22" s="826"/>
      <c r="H22" s="826"/>
      <c r="I22" s="826"/>
      <c r="J22" s="826"/>
      <c r="K22" s="826"/>
      <c r="L22" s="826"/>
      <c r="M22" s="826"/>
      <c r="N22" s="828"/>
      <c r="O22" s="1281" t="s">
        <v>632</v>
      </c>
      <c r="P22" s="1281" t="s">
        <v>1637</v>
      </c>
      <c r="Q22" s="324" t="s">
        <v>1638</v>
      </c>
      <c r="R22" s="324"/>
      <c r="S22" s="1281" t="s">
        <v>1639</v>
      </c>
      <c r="T22" s="1311"/>
      <c r="U22" s="329"/>
      <c r="V22" s="1268"/>
      <c r="W22" s="489"/>
      <c r="X22" s="589" t="s">
        <v>1638</v>
      </c>
      <c r="Y22" s="1268" t="s">
        <v>1640</v>
      </c>
      <c r="Z22" s="1311"/>
      <c r="AA22" s="624"/>
      <c r="AB22" s="618"/>
      <c r="AC22" s="1268"/>
      <c r="AD22" s="1311"/>
      <c r="AE22" s="329"/>
      <c r="AF22" s="1457"/>
      <c r="AG22" s="1309">
        <v>8</v>
      </c>
      <c r="AH22" s="1275">
        <v>8</v>
      </c>
      <c r="AI22" s="1271" t="s">
        <v>1635</v>
      </c>
      <c r="AJ22" s="1293" t="s">
        <v>1636</v>
      </c>
      <c r="AK22" s="1508" t="s">
        <v>1641</v>
      </c>
      <c r="AL22" s="1508"/>
      <c r="AM22" s="1478" t="s">
        <v>1642</v>
      </c>
      <c r="AN22" s="1479"/>
      <c r="AO22" s="1087"/>
      <c r="AP22" s="569" t="s">
        <v>1643</v>
      </c>
      <c r="AQ22" s="643" t="s">
        <v>1643</v>
      </c>
      <c r="AR22" s="589" t="s">
        <v>1644</v>
      </c>
      <c r="AS22" s="727" t="s">
        <v>1645</v>
      </c>
      <c r="AT22" s="727" t="s">
        <v>1645</v>
      </c>
      <c r="AU22" s="727" t="s">
        <v>1645</v>
      </c>
      <c r="AV22" s="727" t="s">
        <v>1645</v>
      </c>
      <c r="AW22" s="727" t="s">
        <v>1645</v>
      </c>
      <c r="AX22" s="727" t="s">
        <v>1645</v>
      </c>
      <c r="AY22" s="727" t="s">
        <v>1645</v>
      </c>
      <c r="AZ22" s="727" t="s">
        <v>1645</v>
      </c>
      <c r="BA22" s="727" t="s">
        <v>1645</v>
      </c>
      <c r="BB22" s="727" t="s">
        <v>1645</v>
      </c>
      <c r="BC22" s="727" t="s">
        <v>1645</v>
      </c>
      <c r="BD22" s="727" t="s">
        <v>1645</v>
      </c>
      <c r="BE22" s="733" t="s">
        <v>1645</v>
      </c>
      <c r="BF22" s="589" t="s">
        <v>1644</v>
      </c>
      <c r="BG22" s="569" t="s">
        <v>1644</v>
      </c>
      <c r="BH22" s="1088"/>
      <c r="BI22" s="1432">
        <v>8</v>
      </c>
      <c r="BJ22" s="791"/>
      <c r="BK22" s="1179"/>
      <c r="BL22" s="1179"/>
    </row>
    <row r="23" spans="1:65" ht="125.15" customHeight="1" thickBot="1" x14ac:dyDescent="0.4">
      <c r="A23" s="1460"/>
      <c r="B23" s="1367"/>
      <c r="C23" s="1301"/>
      <c r="D23" s="1301"/>
      <c r="E23" s="1545"/>
      <c r="F23" s="1364" t="s">
        <v>1593</v>
      </c>
      <c r="G23" s="1365"/>
      <c r="H23" s="1365"/>
      <c r="I23" s="1365"/>
      <c r="J23" s="1365"/>
      <c r="K23" s="1365"/>
      <c r="L23" s="1365"/>
      <c r="M23" s="1365"/>
      <c r="N23" s="1366"/>
      <c r="O23" s="1301"/>
      <c r="P23" s="1301"/>
      <c r="Q23" s="606"/>
      <c r="R23" s="606"/>
      <c r="S23" s="1301"/>
      <c r="T23" s="1544"/>
      <c r="U23" s="603"/>
      <c r="V23" s="1278"/>
      <c r="W23" s="604"/>
      <c r="X23" s="605"/>
      <c r="Y23" s="1278"/>
      <c r="Z23" s="1544"/>
      <c r="AA23" s="627"/>
      <c r="AB23" s="965"/>
      <c r="AC23" s="1278"/>
      <c r="AD23" s="1544"/>
      <c r="AE23" s="603"/>
      <c r="AF23" s="1546"/>
      <c r="AG23" s="1310"/>
      <c r="AH23" s="1276"/>
      <c r="AI23" s="1297"/>
      <c r="AJ23" s="1300"/>
      <c r="AK23" s="1180"/>
      <c r="AL23" s="642"/>
      <c r="AM23" s="1181"/>
      <c r="AN23" s="642"/>
      <c r="AO23" s="1182"/>
      <c r="AP23" s="1181"/>
      <c r="AQ23" s="1183"/>
      <c r="AR23" s="605"/>
      <c r="AS23" s="634"/>
      <c r="AT23" s="634"/>
      <c r="AU23" s="634"/>
      <c r="AV23" s="634"/>
      <c r="AW23" s="634"/>
      <c r="AX23" s="634"/>
      <c r="AY23" s="634"/>
      <c r="AZ23" s="634"/>
      <c r="BA23" s="634"/>
      <c r="BB23" s="634"/>
      <c r="BC23" s="634"/>
      <c r="BD23" s="634"/>
      <c r="BE23" s="1184"/>
      <c r="BF23" s="605"/>
      <c r="BG23" s="634"/>
      <c r="BH23" s="1103"/>
      <c r="BI23" s="1433"/>
      <c r="BJ23" s="823"/>
      <c r="BK23" s="1179"/>
      <c r="BL23" s="1179"/>
    </row>
    <row r="24" spans="1:65" ht="15" customHeight="1" x14ac:dyDescent="0.35">
      <c r="A24" s="868"/>
      <c r="B24" s="1072" t="s">
        <v>449</v>
      </c>
      <c r="C24" s="1072" t="s">
        <v>450</v>
      </c>
      <c r="D24" s="1072" t="s">
        <v>451</v>
      </c>
      <c r="E24" s="1072" t="s">
        <v>452</v>
      </c>
      <c r="F24" s="1531" t="s">
        <v>453</v>
      </c>
      <c r="G24" s="1532"/>
      <c r="H24" s="1532"/>
      <c r="I24" s="1532"/>
      <c r="J24" s="1532"/>
      <c r="K24" s="1532"/>
      <c r="L24" s="1532"/>
      <c r="M24" s="1532"/>
      <c r="N24" s="1533"/>
      <c r="O24" s="1072" t="s">
        <v>454</v>
      </c>
      <c r="P24" s="1072" t="s">
        <v>455</v>
      </c>
      <c r="Q24" s="1072" t="s">
        <v>456</v>
      </c>
      <c r="R24" s="1072"/>
      <c r="S24" s="1072" t="s">
        <v>457</v>
      </c>
      <c r="T24" s="1072" t="s">
        <v>458</v>
      </c>
      <c r="U24" s="1072" t="s">
        <v>459</v>
      </c>
      <c r="V24" s="1072" t="s">
        <v>460</v>
      </c>
      <c r="W24" s="1072" t="s">
        <v>461</v>
      </c>
      <c r="X24" s="1072" t="s">
        <v>242</v>
      </c>
      <c r="Y24" s="1072" t="s">
        <v>462</v>
      </c>
      <c r="Z24" s="1072" t="s">
        <v>463</v>
      </c>
      <c r="AA24" s="1072" t="s">
        <v>464</v>
      </c>
      <c r="AB24" s="1072" t="s">
        <v>465</v>
      </c>
      <c r="AC24" s="1072" t="s">
        <v>466</v>
      </c>
      <c r="AD24" s="1072" t="s">
        <v>467</v>
      </c>
      <c r="AE24" s="1072" t="s">
        <v>468</v>
      </c>
      <c r="AF24" s="1072" t="s">
        <v>469</v>
      </c>
      <c r="AG24" s="1185"/>
      <c r="AH24" s="1186"/>
      <c r="AI24" s="1072" t="s">
        <v>449</v>
      </c>
      <c r="AJ24" s="1072" t="s">
        <v>1107</v>
      </c>
      <c r="AK24" s="1072" t="s">
        <v>471</v>
      </c>
      <c r="AL24" s="1073" t="s">
        <v>472</v>
      </c>
      <c r="AM24" s="1072" t="s">
        <v>473</v>
      </c>
      <c r="AN24" s="1072" t="s">
        <v>474</v>
      </c>
      <c r="AO24" s="1072" t="s">
        <v>475</v>
      </c>
      <c r="AP24" s="1072" t="s">
        <v>476</v>
      </c>
      <c r="AQ24" s="1072" t="s">
        <v>477</v>
      </c>
      <c r="AR24" s="1072" t="s">
        <v>478</v>
      </c>
      <c r="AS24" s="1072" t="s">
        <v>479</v>
      </c>
      <c r="AT24" s="1072" t="s">
        <v>480</v>
      </c>
      <c r="AU24" s="1072" t="s">
        <v>481</v>
      </c>
      <c r="AV24" s="1072" t="s">
        <v>482</v>
      </c>
      <c r="AW24" s="1072" t="s">
        <v>483</v>
      </c>
      <c r="AX24" s="1072" t="s">
        <v>484</v>
      </c>
      <c r="AY24" s="1072" t="s">
        <v>485</v>
      </c>
      <c r="AZ24" s="1072" t="s">
        <v>486</v>
      </c>
      <c r="BA24" s="1072" t="s">
        <v>487</v>
      </c>
      <c r="BB24" s="1072" t="s">
        <v>488</v>
      </c>
      <c r="BC24" s="1072" t="s">
        <v>489</v>
      </c>
      <c r="BD24" s="1072" t="s">
        <v>490</v>
      </c>
      <c r="BE24" s="1072" t="s">
        <v>491</v>
      </c>
      <c r="BF24" s="1073" t="s">
        <v>492</v>
      </c>
      <c r="BG24" s="1072" t="s">
        <v>493</v>
      </c>
      <c r="BH24" s="1072" t="s">
        <v>494</v>
      </c>
      <c r="BI24" s="868"/>
    </row>
    <row r="25" spans="1:65" ht="39.9" customHeight="1" x14ac:dyDescent="0.35">
      <c r="A25" s="757"/>
      <c r="B25" s="1461" t="s">
        <v>448</v>
      </c>
      <c r="C25" s="1462"/>
      <c r="D25" s="1462"/>
      <c r="E25" s="1462"/>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1462"/>
      <c r="AE25" s="1462"/>
      <c r="AF25" s="1462"/>
      <c r="AG25" s="759"/>
      <c r="AI25" s="1461" t="s">
        <v>448</v>
      </c>
      <c r="AJ25" s="1462"/>
      <c r="AK25" s="1462"/>
      <c r="AL25" s="1462"/>
      <c r="AM25" s="1462"/>
      <c r="AN25" s="1462"/>
      <c r="AO25" s="1462"/>
      <c r="AP25" s="1462"/>
      <c r="AQ25" s="1462"/>
      <c r="AR25" s="1462"/>
      <c r="AS25" s="1462"/>
      <c r="AT25" s="1462"/>
      <c r="AU25" s="1462"/>
      <c r="AV25" s="1462"/>
      <c r="AW25" s="1462"/>
      <c r="AX25" s="1462"/>
      <c r="AY25" s="1462"/>
      <c r="AZ25" s="1462"/>
      <c r="BA25" s="1462"/>
      <c r="BB25" s="1462"/>
      <c r="BC25" s="1462"/>
      <c r="BD25" s="1462"/>
      <c r="BE25" s="1462"/>
      <c r="BF25" s="1462"/>
      <c r="BG25" s="1462"/>
      <c r="BH25" s="1463"/>
      <c r="BI25" s="759"/>
      <c r="BJ25" s="760"/>
      <c r="BK25" s="760"/>
      <c r="BL25" s="760"/>
      <c r="BM25" s="760"/>
    </row>
    <row r="26" spans="1:65" ht="15" customHeight="1" thickBot="1" x14ac:dyDescent="0.4">
      <c r="B26" s="1072" t="s">
        <v>449</v>
      </c>
      <c r="C26" s="1072" t="s">
        <v>450</v>
      </c>
      <c r="D26" s="1072" t="s">
        <v>451</v>
      </c>
      <c r="E26" s="1072" t="s">
        <v>452</v>
      </c>
      <c r="F26" s="1534" t="s">
        <v>453</v>
      </c>
      <c r="G26" s="1535"/>
      <c r="H26" s="1535"/>
      <c r="I26" s="1535"/>
      <c r="J26" s="1535"/>
      <c r="K26" s="1535"/>
      <c r="L26" s="1535"/>
      <c r="M26" s="1535"/>
      <c r="N26" s="1536"/>
      <c r="O26" s="1072" t="s">
        <v>454</v>
      </c>
      <c r="P26" s="1072" t="s">
        <v>455</v>
      </c>
      <c r="Q26" s="1072" t="s">
        <v>456</v>
      </c>
      <c r="R26" s="1072"/>
      <c r="S26" s="1072" t="s">
        <v>457</v>
      </c>
      <c r="T26" s="1072" t="s">
        <v>458</v>
      </c>
      <c r="U26" s="1072" t="s">
        <v>459</v>
      </c>
      <c r="V26" s="1072" t="s">
        <v>460</v>
      </c>
      <c r="W26" s="1072" t="s">
        <v>461</v>
      </c>
      <c r="X26" s="1072" t="s">
        <v>242</v>
      </c>
      <c r="Y26" s="1072" t="s">
        <v>462</v>
      </c>
      <c r="Z26" s="1072" t="s">
        <v>463</v>
      </c>
      <c r="AA26" s="1072" t="s">
        <v>464</v>
      </c>
      <c r="AB26" s="1072" t="s">
        <v>465</v>
      </c>
      <c r="AC26" s="1072" t="s">
        <v>466</v>
      </c>
      <c r="AD26" s="1072" t="s">
        <v>467</v>
      </c>
      <c r="AE26" s="1072" t="s">
        <v>468</v>
      </c>
      <c r="AF26" s="1072" t="s">
        <v>469</v>
      </c>
      <c r="AG26" s="1140"/>
      <c r="AH26" s="1141"/>
      <c r="AI26" s="1072" t="s">
        <v>449</v>
      </c>
      <c r="AJ26" s="1072" t="s">
        <v>450</v>
      </c>
      <c r="AK26" s="1072" t="s">
        <v>471</v>
      </c>
      <c r="AL26" s="1073" t="s">
        <v>472</v>
      </c>
      <c r="AM26" s="1072" t="s">
        <v>473</v>
      </c>
      <c r="AN26" s="1072" t="s">
        <v>474</v>
      </c>
      <c r="AO26" s="1072" t="s">
        <v>475</v>
      </c>
      <c r="AP26" s="1072" t="s">
        <v>476</v>
      </c>
      <c r="AQ26" s="1072" t="s">
        <v>477</v>
      </c>
      <c r="AR26" s="1072" t="s">
        <v>478</v>
      </c>
      <c r="AS26" s="1072" t="s">
        <v>479</v>
      </c>
      <c r="AT26" s="1072" t="s">
        <v>480</v>
      </c>
      <c r="AU26" s="1072" t="s">
        <v>481</v>
      </c>
      <c r="AV26" s="1072" t="s">
        <v>482</v>
      </c>
      <c r="AW26" s="1072" t="s">
        <v>483</v>
      </c>
      <c r="AX26" s="1072" t="s">
        <v>484</v>
      </c>
      <c r="AY26" s="1072" t="s">
        <v>485</v>
      </c>
      <c r="AZ26" s="1072" t="s">
        <v>486</v>
      </c>
      <c r="BA26" s="1072" t="s">
        <v>487</v>
      </c>
      <c r="BB26" s="1072" t="s">
        <v>488</v>
      </c>
      <c r="BC26" s="1072" t="s">
        <v>489</v>
      </c>
      <c r="BD26" s="1072" t="s">
        <v>490</v>
      </c>
      <c r="BE26" s="1072" t="s">
        <v>491</v>
      </c>
      <c r="BF26" s="1073" t="s">
        <v>492</v>
      </c>
      <c r="BG26" s="1072" t="s">
        <v>493</v>
      </c>
      <c r="BH26" s="1072" t="s">
        <v>494</v>
      </c>
    </row>
    <row r="27" spans="1:65" ht="99.9" customHeight="1" x14ac:dyDescent="0.35">
      <c r="B27" s="1408" t="s">
        <v>2231</v>
      </c>
      <c r="C27" s="874"/>
      <c r="D27" s="1285" t="s">
        <v>495</v>
      </c>
      <c r="E27" s="1402" t="s">
        <v>496</v>
      </c>
      <c r="F27" s="1403" t="s">
        <v>219</v>
      </c>
      <c r="G27" s="1403"/>
      <c r="H27" s="1403"/>
      <c r="I27" s="1403"/>
      <c r="J27" s="1403"/>
      <c r="K27" s="1403"/>
      <c r="L27" s="1403"/>
      <c r="M27" s="1403"/>
      <c r="N27" s="1403"/>
      <c r="O27" s="1285" t="s">
        <v>214</v>
      </c>
      <c r="P27" s="1404" t="s">
        <v>497</v>
      </c>
      <c r="Q27" s="1285" t="s">
        <v>498</v>
      </c>
      <c r="R27" s="1491" t="s">
        <v>2190</v>
      </c>
      <c r="S27" s="1318" t="s">
        <v>499</v>
      </c>
      <c r="T27" s="1287" t="s">
        <v>501</v>
      </c>
      <c r="U27" s="1319" t="s">
        <v>2</v>
      </c>
      <c r="V27" s="1318" t="s">
        <v>500</v>
      </c>
      <c r="W27" s="1537" t="s">
        <v>856</v>
      </c>
      <c r="X27" s="1538" t="s">
        <v>503</v>
      </c>
      <c r="Y27" s="1285" t="s">
        <v>504</v>
      </c>
      <c r="Z27" s="1287" t="s">
        <v>505</v>
      </c>
      <c r="AA27" s="1540" t="s">
        <v>506</v>
      </c>
      <c r="AB27" s="1538" t="s">
        <v>1575</v>
      </c>
      <c r="AC27" s="1285" t="s">
        <v>504</v>
      </c>
      <c r="AD27" s="1287" t="s">
        <v>505</v>
      </c>
      <c r="AE27" s="1530" t="s">
        <v>508</v>
      </c>
      <c r="AF27" s="1482" t="s">
        <v>509</v>
      </c>
      <c r="AI27" s="1298" t="s">
        <v>2231</v>
      </c>
      <c r="AJ27" s="875"/>
      <c r="AK27" s="876" t="s">
        <v>2234</v>
      </c>
      <c r="AL27" s="877" t="s">
        <v>2235</v>
      </c>
      <c r="AM27" s="877" t="s">
        <v>2236</v>
      </c>
      <c r="AN27" s="877" t="s">
        <v>2237</v>
      </c>
      <c r="AO27" s="877" t="s">
        <v>2238</v>
      </c>
      <c r="AP27" s="877" t="s">
        <v>2239</v>
      </c>
      <c r="AQ27" s="878" t="s">
        <v>2240</v>
      </c>
      <c r="AR27" s="879" t="s">
        <v>2241</v>
      </c>
      <c r="AS27" s="877" t="s">
        <v>2242</v>
      </c>
      <c r="AT27" s="877" t="s">
        <v>2243</v>
      </c>
      <c r="AU27" s="877" t="s">
        <v>2244</v>
      </c>
      <c r="AV27" s="877" t="s">
        <v>2245</v>
      </c>
      <c r="AW27" s="877" t="s">
        <v>2246</v>
      </c>
      <c r="AX27" s="877" t="s">
        <v>2247</v>
      </c>
      <c r="AY27" s="877" t="s">
        <v>2248</v>
      </c>
      <c r="AZ27" s="877" t="s">
        <v>2249</v>
      </c>
      <c r="BA27" s="877" t="s">
        <v>2250</v>
      </c>
      <c r="BB27" s="877" t="s">
        <v>2251</v>
      </c>
      <c r="BC27" s="877" t="s">
        <v>2252</v>
      </c>
      <c r="BD27" s="877" t="s">
        <v>2253</v>
      </c>
      <c r="BE27" s="1187" t="s">
        <v>2254</v>
      </c>
      <c r="BF27" s="876" t="s">
        <v>2255</v>
      </c>
      <c r="BG27" s="1436" t="s">
        <v>41</v>
      </c>
      <c r="BH27" s="1437" t="s">
        <v>42</v>
      </c>
      <c r="BJ27" s="777"/>
      <c r="BK27" s="778"/>
      <c r="BL27" s="778"/>
    </row>
    <row r="28" spans="1:65" s="793" customFormat="1" ht="50.15" customHeight="1" x14ac:dyDescent="0.35">
      <c r="A28" s="880"/>
      <c r="B28" s="1393"/>
      <c r="C28" s="780" t="s">
        <v>1576</v>
      </c>
      <c r="D28" s="1286"/>
      <c r="E28" s="1395"/>
      <c r="F28" s="333" t="s">
        <v>512</v>
      </c>
      <c r="G28" s="333" t="s">
        <v>513</v>
      </c>
      <c r="H28" s="333" t="s">
        <v>514</v>
      </c>
      <c r="I28" s="333" t="s">
        <v>515</v>
      </c>
      <c r="J28" s="333" t="s">
        <v>516</v>
      </c>
      <c r="K28" s="333" t="s">
        <v>517</v>
      </c>
      <c r="L28" s="333" t="s">
        <v>518</v>
      </c>
      <c r="M28" s="333" t="s">
        <v>519</v>
      </c>
      <c r="N28" s="333" t="s">
        <v>520</v>
      </c>
      <c r="O28" s="1397"/>
      <c r="P28" s="1401"/>
      <c r="Q28" s="1286"/>
      <c r="R28" s="1322"/>
      <c r="S28" s="1241"/>
      <c r="T28" s="1288"/>
      <c r="U28" s="1320"/>
      <c r="V28" s="1241"/>
      <c r="W28" s="1529"/>
      <c r="X28" s="1539"/>
      <c r="Y28" s="1286"/>
      <c r="Z28" s="1288"/>
      <c r="AA28" s="1541"/>
      <c r="AB28" s="1539"/>
      <c r="AC28" s="1286"/>
      <c r="AD28" s="1288"/>
      <c r="AE28" s="1249"/>
      <c r="AF28" s="1483"/>
      <c r="AG28" s="880"/>
      <c r="AH28" s="880"/>
      <c r="AI28" s="1299"/>
      <c r="AJ28" s="783" t="s">
        <v>1576</v>
      </c>
      <c r="AK28" s="784">
        <v>8500</v>
      </c>
      <c r="AL28" s="785">
        <v>1500</v>
      </c>
      <c r="AM28" s="785">
        <v>2600</v>
      </c>
      <c r="AN28" s="786">
        <v>750</v>
      </c>
      <c r="AO28" s="786" t="s">
        <v>48</v>
      </c>
      <c r="AP28" s="785">
        <v>2100</v>
      </c>
      <c r="AQ28" s="787">
        <v>1050</v>
      </c>
      <c r="AR28" s="788">
        <v>550</v>
      </c>
      <c r="AS28" s="786">
        <v>70</v>
      </c>
      <c r="AT28" s="786">
        <v>30</v>
      </c>
      <c r="AU28" s="786">
        <v>35</v>
      </c>
      <c r="AV28" s="786">
        <v>35</v>
      </c>
      <c r="AW28" s="786">
        <v>20</v>
      </c>
      <c r="AX28" s="786">
        <v>16</v>
      </c>
      <c r="AY28" s="786">
        <v>15</v>
      </c>
      <c r="AZ28" s="786">
        <v>13</v>
      </c>
      <c r="BA28" s="786">
        <v>10</v>
      </c>
      <c r="BB28" s="786">
        <v>10</v>
      </c>
      <c r="BC28" s="786">
        <v>10</v>
      </c>
      <c r="BD28" s="786">
        <v>10</v>
      </c>
      <c r="BE28" s="1143">
        <v>10</v>
      </c>
      <c r="BF28" s="784">
        <v>2120</v>
      </c>
      <c r="BG28" s="1399"/>
      <c r="BH28" s="1383"/>
      <c r="BI28" s="880"/>
      <c r="BJ28" s="791"/>
      <c r="BK28" s="792"/>
      <c r="BL28" s="792"/>
    </row>
    <row r="29" spans="1:65" ht="17.25" customHeight="1" x14ac:dyDescent="0.35">
      <c r="A29" s="881"/>
      <c r="B29" s="795"/>
      <c r="C29" s="1176" t="s">
        <v>1646</v>
      </c>
      <c r="D29" s="302"/>
      <c r="E29" s="303"/>
      <c r="F29" s="303"/>
      <c r="G29" s="303"/>
      <c r="H29" s="303"/>
      <c r="I29" s="303"/>
      <c r="J29" s="303"/>
      <c r="K29" s="303"/>
      <c r="L29" s="303"/>
      <c r="M29" s="303"/>
      <c r="N29" s="307"/>
      <c r="O29" s="303"/>
      <c r="P29" s="302"/>
      <c r="Q29" s="305"/>
      <c r="R29" s="305"/>
      <c r="S29" s="306"/>
      <c r="T29" s="560"/>
      <c r="U29" s="305"/>
      <c r="V29" s="305"/>
      <c r="W29" s="506"/>
      <c r="X29" s="584"/>
      <c r="Y29" s="307"/>
      <c r="Z29" s="560"/>
      <c r="AA29" s="621"/>
      <c r="AB29" s="584"/>
      <c r="AC29" s="307"/>
      <c r="AD29" s="560"/>
      <c r="AE29" s="305"/>
      <c r="AF29" s="1075"/>
      <c r="AG29" s="881"/>
      <c r="AH29" s="881"/>
      <c r="AI29" s="800"/>
      <c r="AJ29" s="1177" t="s">
        <v>1646</v>
      </c>
      <c r="AK29" s="802"/>
      <c r="AL29" s="803"/>
      <c r="AM29" s="804"/>
      <c r="AN29" s="803"/>
      <c r="AO29" s="803"/>
      <c r="AP29" s="803"/>
      <c r="AQ29" s="804"/>
      <c r="AR29" s="805"/>
      <c r="AS29" s="803"/>
      <c r="AT29" s="803"/>
      <c r="AU29" s="803"/>
      <c r="AV29" s="803"/>
      <c r="AW29" s="803"/>
      <c r="AX29" s="803"/>
      <c r="AY29" s="803"/>
      <c r="AZ29" s="803"/>
      <c r="BA29" s="803"/>
      <c r="BB29" s="803"/>
      <c r="BC29" s="803"/>
      <c r="BD29" s="803"/>
      <c r="BE29" s="1144"/>
      <c r="BF29" s="802"/>
      <c r="BG29" s="302"/>
      <c r="BH29" s="570"/>
      <c r="BI29" s="881"/>
      <c r="BJ29" s="860"/>
      <c r="BK29" s="807"/>
      <c r="BL29" s="807"/>
    </row>
    <row r="30" spans="1:65" ht="125.15" customHeight="1" x14ac:dyDescent="0.35">
      <c r="A30" s="1459">
        <v>9</v>
      </c>
      <c r="B30" s="1358" t="s">
        <v>1479</v>
      </c>
      <c r="C30" s="1281" t="s">
        <v>1647</v>
      </c>
      <c r="D30" s="1281" t="s">
        <v>1585</v>
      </c>
      <c r="E30" s="1470"/>
      <c r="F30" s="859" t="s">
        <v>1648</v>
      </c>
      <c r="G30" s="825" t="s">
        <v>1649</v>
      </c>
      <c r="H30" s="942"/>
      <c r="I30" s="942"/>
      <c r="J30" s="1188"/>
      <c r="K30" s="942"/>
      <c r="L30" s="942"/>
      <c r="M30" s="942"/>
      <c r="N30" s="1086"/>
      <c r="O30" s="1281" t="s">
        <v>1650</v>
      </c>
      <c r="P30" s="1281" t="s">
        <v>1651</v>
      </c>
      <c r="Q30" s="330"/>
      <c r="R30" s="330"/>
      <c r="S30" s="1268" t="s">
        <v>1652</v>
      </c>
      <c r="T30" s="1311" t="s">
        <v>1653</v>
      </c>
      <c r="U30" s="566"/>
      <c r="V30" s="1268" t="s">
        <v>1654</v>
      </c>
      <c r="W30" s="612"/>
      <c r="X30" s="582"/>
      <c r="Y30" s="1268" t="s">
        <v>2300</v>
      </c>
      <c r="Z30" s="1311" t="s">
        <v>1653</v>
      </c>
      <c r="AA30" s="622"/>
      <c r="AB30" s="610"/>
      <c r="AC30" s="1268"/>
      <c r="AD30" s="1311"/>
      <c r="AE30" s="329"/>
      <c r="AF30" s="1472"/>
      <c r="AG30" s="1309">
        <v>9</v>
      </c>
      <c r="AH30" s="1275">
        <v>9</v>
      </c>
      <c r="AI30" s="1271" t="s">
        <v>1479</v>
      </c>
      <c r="AJ30" s="1293" t="s">
        <v>1647</v>
      </c>
      <c r="AK30" s="600"/>
      <c r="AL30" s="600"/>
      <c r="AM30" s="715"/>
      <c r="AN30" s="715"/>
      <c r="AO30" s="493"/>
      <c r="AP30" s="715"/>
      <c r="AQ30" s="715"/>
      <c r="AR30" s="589" t="s">
        <v>1655</v>
      </c>
      <c r="AS30" s="493"/>
      <c r="AT30" s="493"/>
      <c r="AU30" s="493"/>
      <c r="AV30" s="493"/>
      <c r="AW30" s="493"/>
      <c r="AX30" s="493"/>
      <c r="AY30" s="493"/>
      <c r="AZ30" s="493"/>
      <c r="BA30" s="493"/>
      <c r="BB30" s="493"/>
      <c r="BC30" s="493"/>
      <c r="BD30" s="493"/>
      <c r="BE30" s="1145"/>
      <c r="BF30" s="833" t="s">
        <v>1655</v>
      </c>
      <c r="BG30" s="569" t="s">
        <v>1655</v>
      </c>
      <c r="BH30" s="815"/>
      <c r="BI30" s="1432">
        <v>9</v>
      </c>
      <c r="BJ30" s="860"/>
      <c r="BK30" s="1328"/>
      <c r="BL30" s="1328"/>
    </row>
    <row r="31" spans="1:65" ht="231" customHeight="1" x14ac:dyDescent="0.35">
      <c r="A31" s="1460"/>
      <c r="B31" s="1359"/>
      <c r="C31" s="1282"/>
      <c r="D31" s="1282"/>
      <c r="E31" s="1471"/>
      <c r="F31" s="1313" t="s">
        <v>1656</v>
      </c>
      <c r="G31" s="1314"/>
      <c r="H31" s="1314"/>
      <c r="I31" s="1314"/>
      <c r="J31" s="1314"/>
      <c r="K31" s="1314"/>
      <c r="L31" s="1314"/>
      <c r="M31" s="1314"/>
      <c r="N31" s="1315"/>
      <c r="O31" s="1282"/>
      <c r="P31" s="1282"/>
      <c r="Q31" s="456">
        <f>1000000+19370000+3875000</f>
        <v>24245000</v>
      </c>
      <c r="R31" s="456">
        <v>27429418</v>
      </c>
      <c r="S31" s="1270"/>
      <c r="T31" s="1312"/>
      <c r="U31" s="565">
        <f>1000000+3875000</f>
        <v>4875000</v>
      </c>
      <c r="V31" s="1270"/>
      <c r="W31" s="613">
        <f>Q31-U31</f>
        <v>19370000</v>
      </c>
      <c r="X31" s="599">
        <f>SUM(AK31:BH31)</f>
        <v>467926.69696969696</v>
      </c>
      <c r="Y31" s="1270"/>
      <c r="Z31" s="1312"/>
      <c r="AA31" s="623">
        <f>W31-X31</f>
        <v>18902073.303030305</v>
      </c>
      <c r="AB31" s="628"/>
      <c r="AC31" s="1270"/>
      <c r="AD31" s="1312"/>
      <c r="AE31" s="328"/>
      <c r="AF31" s="1473"/>
      <c r="AG31" s="1310"/>
      <c r="AH31" s="1276"/>
      <c r="AI31" s="1272"/>
      <c r="AJ31" s="1295"/>
      <c r="AK31" s="696">
        <v>240317</v>
      </c>
      <c r="AL31" s="564">
        <v>30640</v>
      </c>
      <c r="AM31" s="697">
        <v>78787.878787878784</v>
      </c>
      <c r="AN31" s="697">
        <v>22727.272727272728</v>
      </c>
      <c r="AO31" s="477"/>
      <c r="AP31" s="697">
        <v>63636.36363636364</v>
      </c>
      <c r="AQ31" s="697">
        <v>31818.18181818182</v>
      </c>
      <c r="AR31" s="585"/>
      <c r="AS31" s="477"/>
      <c r="AT31" s="477"/>
      <c r="AU31" s="477"/>
      <c r="AV31" s="477"/>
      <c r="AW31" s="477"/>
      <c r="AX31" s="477"/>
      <c r="AY31" s="477"/>
      <c r="AZ31" s="477"/>
      <c r="BA31" s="477"/>
      <c r="BB31" s="477"/>
      <c r="BC31" s="477"/>
      <c r="BD31" s="477"/>
      <c r="BE31" s="1146"/>
      <c r="BF31" s="699"/>
      <c r="BG31" s="663"/>
      <c r="BH31" s="817"/>
      <c r="BI31" s="1433"/>
      <c r="BJ31" s="860"/>
      <c r="BK31" s="1327"/>
      <c r="BL31" s="1327"/>
    </row>
    <row r="32" spans="1:65" ht="125.15" customHeight="1" x14ac:dyDescent="0.35">
      <c r="A32" s="1459">
        <v>10</v>
      </c>
      <c r="B32" s="1358" t="s">
        <v>1482</v>
      </c>
      <c r="C32" s="1281" t="s">
        <v>1657</v>
      </c>
      <c r="D32" s="1281" t="s">
        <v>1585</v>
      </c>
      <c r="E32" s="1470"/>
      <c r="F32" s="1189"/>
      <c r="G32" s="825" t="s">
        <v>1658</v>
      </c>
      <c r="H32" s="942"/>
      <c r="I32" s="942"/>
      <c r="J32" s="1188"/>
      <c r="K32" s="942"/>
      <c r="L32" s="942"/>
      <c r="M32" s="942"/>
      <c r="N32" s="1086"/>
      <c r="O32" s="1281" t="s">
        <v>1650</v>
      </c>
      <c r="P32" s="1281" t="s">
        <v>1659</v>
      </c>
      <c r="Q32" s="330" t="s">
        <v>1660</v>
      </c>
      <c r="R32" s="330"/>
      <c r="S32" s="1268" t="s">
        <v>1661</v>
      </c>
      <c r="T32" s="1311"/>
      <c r="U32" s="566"/>
      <c r="V32" s="1268" t="s">
        <v>1662</v>
      </c>
      <c r="W32" s="489"/>
      <c r="X32" s="582" t="s">
        <v>1660</v>
      </c>
      <c r="Y32" s="1268" t="s">
        <v>1663</v>
      </c>
      <c r="Z32" s="1311"/>
      <c r="AA32" s="624"/>
      <c r="AB32" s="582" t="s">
        <v>1660</v>
      </c>
      <c r="AC32" s="1268"/>
      <c r="AD32" s="1311"/>
      <c r="AE32" s="329"/>
      <c r="AF32" s="1472"/>
      <c r="AG32" s="1309">
        <v>10</v>
      </c>
      <c r="AH32" s="1275">
        <v>10</v>
      </c>
      <c r="AI32" s="1271" t="s">
        <v>1482</v>
      </c>
      <c r="AJ32" s="1293" t="s">
        <v>1657</v>
      </c>
      <c r="AK32" s="1091"/>
      <c r="AL32" s="1091"/>
      <c r="AM32" s="1099"/>
      <c r="AN32" s="1099"/>
      <c r="AO32" s="493"/>
      <c r="AP32" s="1099"/>
      <c r="AQ32" s="1099"/>
      <c r="AR32" s="597"/>
      <c r="AS32" s="569" t="s">
        <v>1664</v>
      </c>
      <c r="AT32" s="569" t="s">
        <v>1665</v>
      </c>
      <c r="AU32" s="493"/>
      <c r="AV32" s="569" t="s">
        <v>1666</v>
      </c>
      <c r="AW32" s="493"/>
      <c r="AX32" s="493"/>
      <c r="AY32" s="493"/>
      <c r="AZ32" s="493"/>
      <c r="BA32" s="493"/>
      <c r="BB32" s="493"/>
      <c r="BC32" s="493"/>
      <c r="BD32" s="493"/>
      <c r="BE32" s="1145"/>
      <c r="BF32" s="734"/>
      <c r="BG32" s="752"/>
      <c r="BH32" s="815"/>
      <c r="BI32" s="1432">
        <v>10</v>
      </c>
      <c r="BJ32" s="860"/>
      <c r="BK32" s="1328"/>
      <c r="BL32" s="1328"/>
    </row>
    <row r="33" spans="1:64" ht="125.15" customHeight="1" x14ac:dyDescent="0.35">
      <c r="A33" s="1460"/>
      <c r="B33" s="1359"/>
      <c r="C33" s="1282"/>
      <c r="D33" s="1282"/>
      <c r="E33" s="1471"/>
      <c r="F33" s="1313" t="s">
        <v>1667</v>
      </c>
      <c r="G33" s="1314"/>
      <c r="H33" s="1314"/>
      <c r="I33" s="1314"/>
      <c r="J33" s="1314"/>
      <c r="K33" s="1314"/>
      <c r="L33" s="1314"/>
      <c r="M33" s="1314"/>
      <c r="N33" s="1315"/>
      <c r="O33" s="1282"/>
      <c r="P33" s="1282"/>
      <c r="Q33" s="456">
        <v>3000000</v>
      </c>
      <c r="R33" s="456">
        <v>3353982</v>
      </c>
      <c r="S33" s="1270"/>
      <c r="T33" s="1312"/>
      <c r="U33" s="565">
        <v>3000000</v>
      </c>
      <c r="V33" s="1270"/>
      <c r="W33" s="583"/>
      <c r="X33" s="585"/>
      <c r="Y33" s="1270"/>
      <c r="Z33" s="1312"/>
      <c r="AA33" s="625"/>
      <c r="AB33" s="585"/>
      <c r="AC33" s="1270"/>
      <c r="AD33" s="1312"/>
      <c r="AE33" s="328"/>
      <c r="AF33" s="1473"/>
      <c r="AG33" s="1310"/>
      <c r="AH33" s="1276"/>
      <c r="AI33" s="1272"/>
      <c r="AJ33" s="1295"/>
      <c r="AK33" s="629"/>
      <c r="AL33" s="477"/>
      <c r="AM33" s="488"/>
      <c r="AN33" s="488"/>
      <c r="AO33" s="477"/>
      <c r="AP33" s="488"/>
      <c r="AQ33" s="488"/>
      <c r="AR33" s="628"/>
      <c r="AS33" s="663"/>
      <c r="AT33" s="663"/>
      <c r="AU33" s="477"/>
      <c r="AV33" s="663"/>
      <c r="AW33" s="477"/>
      <c r="AX33" s="477"/>
      <c r="AY33" s="477"/>
      <c r="AZ33" s="477"/>
      <c r="BA33" s="477"/>
      <c r="BB33" s="477"/>
      <c r="BC33" s="477"/>
      <c r="BD33" s="477"/>
      <c r="BE33" s="1146"/>
      <c r="BF33" s="749"/>
      <c r="BG33" s="753"/>
      <c r="BH33" s="817"/>
      <c r="BI33" s="1433"/>
      <c r="BJ33" s="860"/>
      <c r="BK33" s="1327"/>
      <c r="BL33" s="1327"/>
    </row>
    <row r="34" spans="1:64" ht="125.15" customHeight="1" x14ac:dyDescent="0.35">
      <c r="A34" s="1459">
        <v>11</v>
      </c>
      <c r="B34" s="1358" t="s">
        <v>1485</v>
      </c>
      <c r="C34" s="1281" t="s">
        <v>1668</v>
      </c>
      <c r="D34" s="1281" t="s">
        <v>1585</v>
      </c>
      <c r="E34" s="1470"/>
      <c r="F34" s="1081"/>
      <c r="G34" s="826"/>
      <c r="H34" s="826"/>
      <c r="I34" s="826"/>
      <c r="J34" s="827"/>
      <c r="K34" s="826"/>
      <c r="L34" s="826"/>
      <c r="M34" s="826"/>
      <c r="N34" s="828"/>
      <c r="O34" s="1281" t="s">
        <v>1650</v>
      </c>
      <c r="P34" s="1281" t="s">
        <v>1669</v>
      </c>
      <c r="Q34" s="330" t="s">
        <v>1670</v>
      </c>
      <c r="R34" s="330"/>
      <c r="S34" s="1268" t="s">
        <v>1671</v>
      </c>
      <c r="T34" s="1311"/>
      <c r="U34" s="329"/>
      <c r="V34" s="1268"/>
      <c r="W34" s="489"/>
      <c r="X34" s="582" t="s">
        <v>1670</v>
      </c>
      <c r="Y34" s="1268" t="s">
        <v>1672</v>
      </c>
      <c r="Z34" s="1311"/>
      <c r="AA34" s="624"/>
      <c r="AB34" s="582" t="s">
        <v>1670</v>
      </c>
      <c r="AC34" s="1268"/>
      <c r="AD34" s="1311"/>
      <c r="AE34" s="329"/>
      <c r="AF34" s="1472"/>
      <c r="AG34" s="1309">
        <v>11</v>
      </c>
      <c r="AH34" s="1275">
        <v>11</v>
      </c>
      <c r="AI34" s="1271" t="s">
        <v>1485</v>
      </c>
      <c r="AJ34" s="1293" t="s">
        <v>1668</v>
      </c>
      <c r="AK34" s="1091"/>
      <c r="AL34" s="1091"/>
      <c r="AM34" s="1099"/>
      <c r="AN34" s="1099"/>
      <c r="AO34" s="493"/>
      <c r="AP34" s="1099"/>
      <c r="AQ34" s="1099"/>
      <c r="AR34" s="589" t="s">
        <v>1673</v>
      </c>
      <c r="AS34" s="329"/>
      <c r="AT34" s="329"/>
      <c r="AU34" s="569" t="s">
        <v>1674</v>
      </c>
      <c r="AV34" s="329"/>
      <c r="AW34" s="569" t="s">
        <v>1675</v>
      </c>
      <c r="AX34" s="569" t="s">
        <v>1676</v>
      </c>
      <c r="AY34" s="569" t="s">
        <v>1677</v>
      </c>
      <c r="AZ34" s="569" t="s">
        <v>1678</v>
      </c>
      <c r="BA34" s="569" t="s">
        <v>1679</v>
      </c>
      <c r="BB34" s="569" t="s">
        <v>1680</v>
      </c>
      <c r="BC34" s="569" t="s">
        <v>1681</v>
      </c>
      <c r="BD34" s="569" t="s">
        <v>1682</v>
      </c>
      <c r="BE34" s="708" t="s">
        <v>1683</v>
      </c>
      <c r="BF34" s="734"/>
      <c r="BG34" s="563" t="s">
        <v>1670</v>
      </c>
      <c r="BH34" s="815"/>
      <c r="BI34" s="1432">
        <v>11</v>
      </c>
      <c r="BJ34" s="860"/>
      <c r="BK34" s="1328"/>
      <c r="BL34" s="1328"/>
    </row>
    <row r="35" spans="1:64" ht="234.9" customHeight="1" x14ac:dyDescent="0.35">
      <c r="A35" s="1460"/>
      <c r="B35" s="1359"/>
      <c r="C35" s="1282"/>
      <c r="D35" s="1282"/>
      <c r="E35" s="1471"/>
      <c r="F35" s="1313" t="s">
        <v>1684</v>
      </c>
      <c r="G35" s="1314"/>
      <c r="H35" s="1314"/>
      <c r="I35" s="1314"/>
      <c r="J35" s="1314"/>
      <c r="K35" s="1314"/>
      <c r="L35" s="1314"/>
      <c r="M35" s="1314"/>
      <c r="N35" s="1315"/>
      <c r="O35" s="1282"/>
      <c r="P35" s="1282"/>
      <c r="Q35" s="323"/>
      <c r="R35" s="323"/>
      <c r="S35" s="1270"/>
      <c r="T35" s="1312"/>
      <c r="U35" s="334"/>
      <c r="V35" s="1270"/>
      <c r="W35" s="583"/>
      <c r="X35" s="585"/>
      <c r="Y35" s="1270"/>
      <c r="Z35" s="1312"/>
      <c r="AA35" s="625"/>
      <c r="AB35" s="585"/>
      <c r="AC35" s="1270"/>
      <c r="AD35" s="1312"/>
      <c r="AE35" s="328"/>
      <c r="AF35" s="1473"/>
      <c r="AG35" s="1310"/>
      <c r="AH35" s="1276"/>
      <c r="AI35" s="1272"/>
      <c r="AJ35" s="1295"/>
      <c r="AK35" s="629"/>
      <c r="AL35" s="477"/>
      <c r="AM35" s="488"/>
      <c r="AN35" s="488"/>
      <c r="AO35" s="477"/>
      <c r="AP35" s="488"/>
      <c r="AQ35" s="488"/>
      <c r="AR35" s="585"/>
      <c r="AS35" s="328"/>
      <c r="AT35" s="328"/>
      <c r="AU35" s="663"/>
      <c r="AV35" s="328"/>
      <c r="AW35" s="663"/>
      <c r="AX35" s="663"/>
      <c r="AY35" s="663"/>
      <c r="AZ35" s="663"/>
      <c r="BA35" s="663"/>
      <c r="BB35" s="663"/>
      <c r="BC35" s="663"/>
      <c r="BD35" s="663"/>
      <c r="BE35" s="710"/>
      <c r="BF35" s="749"/>
      <c r="BG35" s="663"/>
      <c r="BH35" s="817"/>
      <c r="BI35" s="1433"/>
      <c r="BJ35" s="860"/>
      <c r="BK35" s="1327"/>
      <c r="BL35" s="1327"/>
    </row>
    <row r="36" spans="1:64" ht="125.15" customHeight="1" x14ac:dyDescent="0.35">
      <c r="A36" s="1459">
        <v>12</v>
      </c>
      <c r="B36" s="1358" t="s">
        <v>1691</v>
      </c>
      <c r="C36" s="1281" t="s">
        <v>1685</v>
      </c>
      <c r="D36" s="1281" t="s">
        <v>1614</v>
      </c>
      <c r="E36" s="1470"/>
      <c r="F36" s="1081"/>
      <c r="G36" s="826"/>
      <c r="H36" s="826"/>
      <c r="I36" s="826"/>
      <c r="J36" s="827"/>
      <c r="K36" s="826"/>
      <c r="L36" s="826"/>
      <c r="M36" s="826"/>
      <c r="N36" s="828"/>
      <c r="O36" s="1281" t="s">
        <v>632</v>
      </c>
      <c r="P36" s="1281" t="s">
        <v>1686</v>
      </c>
      <c r="Q36" s="330" t="s">
        <v>1687</v>
      </c>
      <c r="R36" s="330"/>
      <c r="S36" s="1281" t="s">
        <v>1688</v>
      </c>
      <c r="T36" s="1311"/>
      <c r="U36" s="329"/>
      <c r="V36" s="1268"/>
      <c r="W36" s="489"/>
      <c r="X36" s="582" t="s">
        <v>1689</v>
      </c>
      <c r="Y36" s="1268" t="s">
        <v>1690</v>
      </c>
      <c r="Z36" s="1311"/>
      <c r="AA36" s="624"/>
      <c r="AB36" s="610"/>
      <c r="AC36" s="1268"/>
      <c r="AD36" s="1311"/>
      <c r="AE36" s="329"/>
      <c r="AF36" s="1472"/>
      <c r="AG36" s="1309">
        <v>12</v>
      </c>
      <c r="AH36" s="1275">
        <v>12</v>
      </c>
      <c r="AI36" s="1271" t="s">
        <v>1691</v>
      </c>
      <c r="AJ36" s="1293" t="s">
        <v>1685</v>
      </c>
      <c r="AK36" s="1508" t="s">
        <v>1692</v>
      </c>
      <c r="AL36" s="1479"/>
      <c r="AM36" s="1478" t="s">
        <v>1693</v>
      </c>
      <c r="AN36" s="1479"/>
      <c r="AO36" s="493"/>
      <c r="AP36" s="732" t="s">
        <v>1694</v>
      </c>
      <c r="AQ36" s="732" t="s">
        <v>1695</v>
      </c>
      <c r="AR36" s="589" t="s">
        <v>1696</v>
      </c>
      <c r="AS36" s="569" t="s">
        <v>1697</v>
      </c>
      <c r="AT36" s="569" t="s">
        <v>1698</v>
      </c>
      <c r="AU36" s="569" t="s">
        <v>1699</v>
      </c>
      <c r="AV36" s="569" t="s">
        <v>1699</v>
      </c>
      <c r="AW36" s="569" t="s">
        <v>1700</v>
      </c>
      <c r="AX36" s="569" t="s">
        <v>1701</v>
      </c>
      <c r="AY36" s="569" t="s">
        <v>1702</v>
      </c>
      <c r="AZ36" s="569" t="s">
        <v>1703</v>
      </c>
      <c r="BA36" s="569" t="s">
        <v>1704</v>
      </c>
      <c r="BB36" s="569" t="s">
        <v>1704</v>
      </c>
      <c r="BC36" s="569" t="s">
        <v>1704</v>
      </c>
      <c r="BD36" s="569" t="s">
        <v>1704</v>
      </c>
      <c r="BE36" s="708" t="s">
        <v>1704</v>
      </c>
      <c r="BF36" s="833" t="s">
        <v>1705</v>
      </c>
      <c r="BG36" s="727" t="s">
        <v>1706</v>
      </c>
      <c r="BH36" s="815"/>
      <c r="BI36" s="1432">
        <v>12</v>
      </c>
      <c r="BJ36" s="860"/>
      <c r="BK36" s="1328"/>
      <c r="BL36" s="1328"/>
    </row>
    <row r="37" spans="1:64" ht="125.15" customHeight="1" x14ac:dyDescent="0.35">
      <c r="A37" s="1460"/>
      <c r="B37" s="1359"/>
      <c r="C37" s="1282"/>
      <c r="D37" s="1282"/>
      <c r="E37" s="1471"/>
      <c r="F37" s="1313" t="s">
        <v>1593</v>
      </c>
      <c r="G37" s="1314"/>
      <c r="H37" s="1314"/>
      <c r="I37" s="1314"/>
      <c r="J37" s="1314"/>
      <c r="K37" s="1314"/>
      <c r="L37" s="1314"/>
      <c r="M37" s="1314"/>
      <c r="N37" s="1315"/>
      <c r="O37" s="1282"/>
      <c r="P37" s="1282"/>
      <c r="Q37" s="323"/>
      <c r="R37" s="323"/>
      <c r="S37" s="1282"/>
      <c r="T37" s="1312"/>
      <c r="U37" s="334"/>
      <c r="V37" s="1270"/>
      <c r="W37" s="583"/>
      <c r="X37" s="585"/>
      <c r="Y37" s="1270"/>
      <c r="Z37" s="1312"/>
      <c r="AA37" s="625"/>
      <c r="AB37" s="598"/>
      <c r="AC37" s="1270"/>
      <c r="AD37" s="1312"/>
      <c r="AE37" s="328"/>
      <c r="AF37" s="1473"/>
      <c r="AG37" s="1310"/>
      <c r="AH37" s="1276"/>
      <c r="AI37" s="1272"/>
      <c r="AJ37" s="1295"/>
      <c r="AK37" s="696"/>
      <c r="AL37" s="564"/>
      <c r="AM37" s="697"/>
      <c r="AN37" s="697"/>
      <c r="AO37" s="477"/>
      <c r="AP37" s="697"/>
      <c r="AQ37" s="697"/>
      <c r="AR37" s="599"/>
      <c r="AS37" s="564"/>
      <c r="AT37" s="564"/>
      <c r="AU37" s="564"/>
      <c r="AV37" s="564"/>
      <c r="AW37" s="564"/>
      <c r="AX37" s="564"/>
      <c r="AY37" s="564"/>
      <c r="AZ37" s="564"/>
      <c r="BA37" s="564"/>
      <c r="BB37" s="564"/>
      <c r="BC37" s="564"/>
      <c r="BD37" s="564"/>
      <c r="BE37" s="1190"/>
      <c r="BF37" s="931"/>
      <c r="BG37" s="906"/>
      <c r="BH37" s="817"/>
      <c r="BI37" s="1433"/>
      <c r="BJ37" s="860"/>
      <c r="BK37" s="1327"/>
      <c r="BL37" s="1327"/>
    </row>
    <row r="38" spans="1:64" ht="17.25" customHeight="1" x14ac:dyDescent="0.35">
      <c r="A38" s="821"/>
      <c r="B38" s="795"/>
      <c r="C38" s="1176" t="s">
        <v>1539</v>
      </c>
      <c r="D38" s="302"/>
      <c r="E38" s="303"/>
      <c r="F38" s="303"/>
      <c r="G38" s="303"/>
      <c r="H38" s="303"/>
      <c r="I38" s="303"/>
      <c r="J38" s="303"/>
      <c r="K38" s="303"/>
      <c r="L38" s="303"/>
      <c r="M38" s="303"/>
      <c r="N38" s="307"/>
      <c r="O38" s="303"/>
      <c r="P38" s="302"/>
      <c r="Q38" s="305"/>
      <c r="R38" s="305"/>
      <c r="S38" s="306"/>
      <c r="T38" s="560"/>
      <c r="U38" s="305"/>
      <c r="V38" s="305"/>
      <c r="W38" s="506"/>
      <c r="X38" s="584"/>
      <c r="Y38" s="307"/>
      <c r="Z38" s="560"/>
      <c r="AA38" s="621"/>
      <c r="AB38" s="584"/>
      <c r="AC38" s="307"/>
      <c r="AD38" s="560"/>
      <c r="AE38" s="305"/>
      <c r="AF38" s="1075"/>
      <c r="AG38" s="821"/>
      <c r="AH38" s="821"/>
      <c r="AI38" s="800"/>
      <c r="AJ38" s="1177" t="s">
        <v>1539</v>
      </c>
      <c r="AK38" s="802"/>
      <c r="AL38" s="803"/>
      <c r="AM38" s="804"/>
      <c r="AN38" s="803"/>
      <c r="AO38" s="803"/>
      <c r="AP38" s="803"/>
      <c r="AQ38" s="804"/>
      <c r="AR38" s="805"/>
      <c r="AS38" s="803"/>
      <c r="AT38" s="803"/>
      <c r="AU38" s="803"/>
      <c r="AV38" s="803"/>
      <c r="AW38" s="803"/>
      <c r="AX38" s="803"/>
      <c r="AY38" s="803"/>
      <c r="AZ38" s="803"/>
      <c r="BA38" s="803"/>
      <c r="BB38" s="803"/>
      <c r="BC38" s="803"/>
      <c r="BD38" s="803"/>
      <c r="BE38" s="1144"/>
      <c r="BF38" s="802"/>
      <c r="BG38" s="302"/>
      <c r="BH38" s="570"/>
      <c r="BI38" s="821"/>
      <c r="BJ38" s="823"/>
      <c r="BK38" s="807"/>
      <c r="BL38" s="807"/>
    </row>
    <row r="39" spans="1:64" ht="125.15" customHeight="1" x14ac:dyDescent="0.35">
      <c r="A39" s="1459">
        <v>13</v>
      </c>
      <c r="B39" s="1358" t="s">
        <v>1707</v>
      </c>
      <c r="C39" s="1281" t="s">
        <v>1708</v>
      </c>
      <c r="D39" s="1281" t="s">
        <v>1614</v>
      </c>
      <c r="E39" s="1470"/>
      <c r="F39" s="1081"/>
      <c r="G39" s="826"/>
      <c r="H39" s="826"/>
      <c r="I39" s="826"/>
      <c r="J39" s="827"/>
      <c r="K39" s="826"/>
      <c r="L39" s="826"/>
      <c r="M39" s="826"/>
      <c r="N39" s="828"/>
      <c r="O39" s="1281" t="s">
        <v>1623</v>
      </c>
      <c r="P39" s="1281" t="s">
        <v>1709</v>
      </c>
      <c r="Q39" s="330" t="s">
        <v>1710</v>
      </c>
      <c r="R39" s="330"/>
      <c r="S39" s="1281" t="s">
        <v>1711</v>
      </c>
      <c r="T39" s="1311"/>
      <c r="U39" s="329"/>
      <c r="V39" s="1268"/>
      <c r="W39" s="489"/>
      <c r="X39" s="582" t="s">
        <v>1710</v>
      </c>
      <c r="Y39" s="1268"/>
      <c r="Z39" s="1311"/>
      <c r="AA39" s="624"/>
      <c r="AB39" s="610"/>
      <c r="AC39" s="1268"/>
      <c r="AD39" s="1311"/>
      <c r="AE39" s="329"/>
      <c r="AF39" s="1472"/>
      <c r="AG39" s="1309">
        <v>13</v>
      </c>
      <c r="AH39" s="1275">
        <v>13</v>
      </c>
      <c r="AI39" s="1271" t="s">
        <v>1707</v>
      </c>
      <c r="AJ39" s="1293" t="s">
        <v>1708</v>
      </c>
      <c r="AK39" s="1508" t="s">
        <v>1712</v>
      </c>
      <c r="AL39" s="1508"/>
      <c r="AM39" s="1478" t="s">
        <v>1713</v>
      </c>
      <c r="AN39" s="1479"/>
      <c r="AO39" s="493"/>
      <c r="AP39" s="643" t="s">
        <v>1714</v>
      </c>
      <c r="AQ39" s="643" t="s">
        <v>1715</v>
      </c>
      <c r="AR39" s="589" t="s">
        <v>1716</v>
      </c>
      <c r="AS39" s="569" t="s">
        <v>1717</v>
      </c>
      <c r="AT39" s="493"/>
      <c r="AU39" s="493"/>
      <c r="AV39" s="493"/>
      <c r="AW39" s="493"/>
      <c r="AX39" s="493"/>
      <c r="AY39" s="493"/>
      <c r="AZ39" s="493"/>
      <c r="BA39" s="493"/>
      <c r="BB39" s="493"/>
      <c r="BC39" s="493"/>
      <c r="BD39" s="493"/>
      <c r="BE39" s="1145"/>
      <c r="BF39" s="833" t="s">
        <v>1718</v>
      </c>
      <c r="BG39" s="727" t="s">
        <v>1718</v>
      </c>
      <c r="BH39" s="815"/>
      <c r="BI39" s="1432">
        <v>13</v>
      </c>
      <c r="BJ39" s="889"/>
      <c r="BK39" s="1179"/>
      <c r="BL39" s="1179"/>
    </row>
    <row r="40" spans="1:64" ht="125.15" customHeight="1" x14ac:dyDescent="0.35">
      <c r="A40" s="1460"/>
      <c r="B40" s="1359"/>
      <c r="C40" s="1282"/>
      <c r="D40" s="1282"/>
      <c r="E40" s="1471"/>
      <c r="F40" s="1313" t="s">
        <v>1593</v>
      </c>
      <c r="G40" s="1314"/>
      <c r="H40" s="1314"/>
      <c r="I40" s="1314"/>
      <c r="J40" s="1314"/>
      <c r="K40" s="1314"/>
      <c r="L40" s="1314"/>
      <c r="M40" s="1314"/>
      <c r="N40" s="1315"/>
      <c r="O40" s="1282"/>
      <c r="P40" s="1282"/>
      <c r="Q40" s="323"/>
      <c r="R40" s="323"/>
      <c r="S40" s="1282"/>
      <c r="T40" s="1312"/>
      <c r="U40" s="334"/>
      <c r="V40" s="1270"/>
      <c r="W40" s="583"/>
      <c r="X40" s="585"/>
      <c r="Y40" s="1270"/>
      <c r="Z40" s="1312"/>
      <c r="AA40" s="625"/>
      <c r="AB40" s="598"/>
      <c r="AC40" s="1270"/>
      <c r="AD40" s="1312"/>
      <c r="AE40" s="328"/>
      <c r="AF40" s="1473"/>
      <c r="AG40" s="1310"/>
      <c r="AH40" s="1276"/>
      <c r="AI40" s="1272"/>
      <c r="AJ40" s="1295"/>
      <c r="AK40" s="696"/>
      <c r="AL40" s="564"/>
      <c r="AM40" s="697"/>
      <c r="AN40" s="697"/>
      <c r="AO40" s="477"/>
      <c r="AP40" s="697"/>
      <c r="AQ40" s="697"/>
      <c r="AR40" s="599"/>
      <c r="AS40" s="663"/>
      <c r="AT40" s="477"/>
      <c r="AU40" s="477"/>
      <c r="AV40" s="477"/>
      <c r="AW40" s="477"/>
      <c r="AX40" s="477"/>
      <c r="AY40" s="477"/>
      <c r="AZ40" s="477"/>
      <c r="BA40" s="477"/>
      <c r="BB40" s="477"/>
      <c r="BC40" s="477"/>
      <c r="BD40" s="477"/>
      <c r="BE40" s="1146"/>
      <c r="BF40" s="699"/>
      <c r="BG40" s="663"/>
      <c r="BH40" s="817"/>
      <c r="BI40" s="1433"/>
      <c r="BJ40" s="889"/>
      <c r="BK40" s="1191"/>
      <c r="BL40" s="1191"/>
    </row>
    <row r="41" spans="1:64" ht="17.25" customHeight="1" x14ac:dyDescent="0.35">
      <c r="A41" s="821"/>
      <c r="B41" s="795"/>
      <c r="C41" s="1176" t="s">
        <v>1719</v>
      </c>
      <c r="D41" s="302"/>
      <c r="E41" s="303"/>
      <c r="F41" s="303"/>
      <c r="G41" s="303"/>
      <c r="H41" s="303"/>
      <c r="I41" s="303"/>
      <c r="J41" s="303"/>
      <c r="K41" s="303"/>
      <c r="L41" s="303"/>
      <c r="M41" s="303"/>
      <c r="N41" s="307"/>
      <c r="O41" s="303"/>
      <c r="P41" s="302"/>
      <c r="Q41" s="305"/>
      <c r="R41" s="305"/>
      <c r="S41" s="306"/>
      <c r="T41" s="560"/>
      <c r="U41" s="305"/>
      <c r="V41" s="305"/>
      <c r="W41" s="506"/>
      <c r="X41" s="584"/>
      <c r="Y41" s="307"/>
      <c r="Z41" s="560"/>
      <c r="AA41" s="621"/>
      <c r="AB41" s="584"/>
      <c r="AC41" s="307"/>
      <c r="AD41" s="560"/>
      <c r="AE41" s="305"/>
      <c r="AF41" s="1075"/>
      <c r="AG41" s="821"/>
      <c r="AH41" s="821"/>
      <c r="AI41" s="800"/>
      <c r="AJ41" s="1177" t="s">
        <v>1719</v>
      </c>
      <c r="AK41" s="802"/>
      <c r="AL41" s="803"/>
      <c r="AM41" s="804"/>
      <c r="AN41" s="803"/>
      <c r="AO41" s="803"/>
      <c r="AP41" s="803"/>
      <c r="AQ41" s="804"/>
      <c r="AR41" s="805"/>
      <c r="AS41" s="803"/>
      <c r="AT41" s="803"/>
      <c r="AU41" s="803"/>
      <c r="AV41" s="803"/>
      <c r="AW41" s="803"/>
      <c r="AX41" s="803"/>
      <c r="AY41" s="803"/>
      <c r="AZ41" s="803"/>
      <c r="BA41" s="803"/>
      <c r="BB41" s="803"/>
      <c r="BC41" s="803"/>
      <c r="BD41" s="803"/>
      <c r="BE41" s="1144"/>
      <c r="BF41" s="802"/>
      <c r="BG41" s="302"/>
      <c r="BH41" s="570"/>
      <c r="BI41" s="821"/>
      <c r="BJ41" s="889"/>
      <c r="BK41" s="807"/>
      <c r="BL41" s="1192"/>
    </row>
    <row r="42" spans="1:64" ht="125.15" customHeight="1" x14ac:dyDescent="0.35">
      <c r="A42" s="1459">
        <v>14</v>
      </c>
      <c r="B42" s="1358" t="s">
        <v>1720</v>
      </c>
      <c r="C42" s="1281" t="s">
        <v>1721</v>
      </c>
      <c r="D42" s="1281" t="s">
        <v>1614</v>
      </c>
      <c r="E42" s="1470"/>
      <c r="F42" s="1081"/>
      <c r="G42" s="826"/>
      <c r="H42" s="826"/>
      <c r="I42" s="826"/>
      <c r="J42" s="827"/>
      <c r="K42" s="826"/>
      <c r="L42" s="826"/>
      <c r="M42" s="826"/>
      <c r="N42" s="828"/>
      <c r="O42" s="1281" t="s">
        <v>632</v>
      </c>
      <c r="P42" s="1281" t="s">
        <v>1722</v>
      </c>
      <c r="Q42" s="330" t="s">
        <v>1723</v>
      </c>
      <c r="R42" s="330"/>
      <c r="S42" s="1281" t="s">
        <v>1724</v>
      </c>
      <c r="T42" s="1311"/>
      <c r="U42" s="329"/>
      <c r="V42" s="1268"/>
      <c r="W42" s="489"/>
      <c r="X42" s="582" t="s">
        <v>1723</v>
      </c>
      <c r="Y42" s="1268" t="s">
        <v>1725</v>
      </c>
      <c r="Z42" s="1311"/>
      <c r="AA42" s="624"/>
      <c r="AB42" s="610"/>
      <c r="AC42" s="1268"/>
      <c r="AD42" s="1311"/>
      <c r="AE42" s="329"/>
      <c r="AF42" s="1472"/>
      <c r="AG42" s="1309">
        <v>14</v>
      </c>
      <c r="AH42" s="1275">
        <v>14</v>
      </c>
      <c r="AI42" s="1271" t="s">
        <v>1720</v>
      </c>
      <c r="AJ42" s="1293" t="s">
        <v>1721</v>
      </c>
      <c r="AK42" s="1508" t="s">
        <v>1726</v>
      </c>
      <c r="AL42" s="1508"/>
      <c r="AM42" s="1478" t="s">
        <v>1727</v>
      </c>
      <c r="AN42" s="1479"/>
      <c r="AO42" s="493"/>
      <c r="AP42" s="643" t="s">
        <v>1726</v>
      </c>
      <c r="AQ42" s="643" t="s">
        <v>1726</v>
      </c>
      <c r="AR42" s="589" t="s">
        <v>1728</v>
      </c>
      <c r="AS42" s="569" t="s">
        <v>1729</v>
      </c>
      <c r="AT42" s="569" t="s">
        <v>1730</v>
      </c>
      <c r="AU42" s="569" t="s">
        <v>1730</v>
      </c>
      <c r="AV42" s="569" t="s">
        <v>1730</v>
      </c>
      <c r="AW42" s="569" t="s">
        <v>1730</v>
      </c>
      <c r="AX42" s="569" t="s">
        <v>1730</v>
      </c>
      <c r="AY42" s="569" t="s">
        <v>1730</v>
      </c>
      <c r="AZ42" s="569" t="s">
        <v>1730</v>
      </c>
      <c r="BA42" s="569" t="s">
        <v>1730</v>
      </c>
      <c r="BB42" s="569" t="s">
        <v>1730</v>
      </c>
      <c r="BC42" s="569" t="s">
        <v>1730</v>
      </c>
      <c r="BD42" s="569" t="s">
        <v>1730</v>
      </c>
      <c r="BE42" s="708" t="s">
        <v>1730</v>
      </c>
      <c r="BF42" s="600" t="s">
        <v>1731</v>
      </c>
      <c r="BG42" s="569" t="s">
        <v>1730</v>
      </c>
      <c r="BH42" s="815"/>
      <c r="BI42" s="1432">
        <v>14</v>
      </c>
      <c r="BJ42" s="860"/>
      <c r="BK42" s="1328"/>
      <c r="BL42" s="1328"/>
    </row>
    <row r="43" spans="1:64" ht="125.15" customHeight="1" x14ac:dyDescent="0.35">
      <c r="A43" s="1460"/>
      <c r="B43" s="1359"/>
      <c r="C43" s="1282"/>
      <c r="D43" s="1282"/>
      <c r="E43" s="1471"/>
      <c r="F43" s="1313" t="s">
        <v>1593</v>
      </c>
      <c r="G43" s="1314"/>
      <c r="H43" s="1314"/>
      <c r="I43" s="1314"/>
      <c r="J43" s="1314"/>
      <c r="K43" s="1314"/>
      <c r="L43" s="1314"/>
      <c r="M43" s="1314"/>
      <c r="N43" s="1315"/>
      <c r="O43" s="1282"/>
      <c r="P43" s="1282"/>
      <c r="Q43" s="323"/>
      <c r="R43" s="323"/>
      <c r="S43" s="1282"/>
      <c r="T43" s="1312"/>
      <c r="U43" s="334"/>
      <c r="V43" s="1270"/>
      <c r="W43" s="583"/>
      <c r="X43" s="585"/>
      <c r="Y43" s="1270"/>
      <c r="Z43" s="1312"/>
      <c r="AA43" s="625"/>
      <c r="AB43" s="598"/>
      <c r="AC43" s="1270"/>
      <c r="AD43" s="1312"/>
      <c r="AE43" s="328"/>
      <c r="AF43" s="1473"/>
      <c r="AG43" s="1310"/>
      <c r="AH43" s="1276"/>
      <c r="AI43" s="1272"/>
      <c r="AJ43" s="1295"/>
      <c r="AK43" s="696"/>
      <c r="AL43" s="564"/>
      <c r="AM43" s="697"/>
      <c r="AN43" s="697"/>
      <c r="AO43" s="477"/>
      <c r="AP43" s="697"/>
      <c r="AQ43" s="697"/>
      <c r="AR43" s="599"/>
      <c r="AS43" s="663"/>
      <c r="AT43" s="663"/>
      <c r="AU43" s="663"/>
      <c r="AV43" s="663"/>
      <c r="AW43" s="663"/>
      <c r="AX43" s="663"/>
      <c r="AY43" s="663"/>
      <c r="AZ43" s="663"/>
      <c r="BA43" s="663"/>
      <c r="BB43" s="663"/>
      <c r="BC43" s="663"/>
      <c r="BD43" s="663"/>
      <c r="BE43" s="710"/>
      <c r="BF43" s="699"/>
      <c r="BG43" s="663"/>
      <c r="BH43" s="817"/>
      <c r="BI43" s="1433"/>
      <c r="BJ43" s="860"/>
      <c r="BK43" s="1327"/>
      <c r="BL43" s="1327"/>
    </row>
    <row r="44" spans="1:64" ht="17.25" customHeight="1" x14ac:dyDescent="0.35">
      <c r="A44" s="821"/>
      <c r="B44" s="795"/>
      <c r="C44" s="1177" t="s">
        <v>1732</v>
      </c>
      <c r="D44" s="302"/>
      <c r="E44" s="303"/>
      <c r="F44" s="303"/>
      <c r="G44" s="303"/>
      <c r="H44" s="303"/>
      <c r="I44" s="303"/>
      <c r="J44" s="303"/>
      <c r="K44" s="303"/>
      <c r="L44" s="303"/>
      <c r="M44" s="303"/>
      <c r="N44" s="307"/>
      <c r="O44" s="303"/>
      <c r="P44" s="302"/>
      <c r="Q44" s="305"/>
      <c r="R44" s="305"/>
      <c r="S44" s="306"/>
      <c r="T44" s="560"/>
      <c r="U44" s="305"/>
      <c r="V44" s="305"/>
      <c r="W44" s="506"/>
      <c r="X44" s="584"/>
      <c r="Y44" s="307"/>
      <c r="Z44" s="560"/>
      <c r="AA44" s="621"/>
      <c r="AB44" s="584"/>
      <c r="AC44" s="307"/>
      <c r="AD44" s="560"/>
      <c r="AE44" s="305"/>
      <c r="AF44" s="1075"/>
      <c r="AG44" s="821"/>
      <c r="AH44" s="821"/>
      <c r="AI44" s="800"/>
      <c r="AJ44" s="1177" t="s">
        <v>1732</v>
      </c>
      <c r="AK44" s="802"/>
      <c r="AL44" s="803"/>
      <c r="AM44" s="804"/>
      <c r="AN44" s="803"/>
      <c r="AO44" s="803"/>
      <c r="AP44" s="803"/>
      <c r="AQ44" s="804"/>
      <c r="AR44" s="805"/>
      <c r="AS44" s="803"/>
      <c r="AT44" s="803"/>
      <c r="AU44" s="803"/>
      <c r="AV44" s="803"/>
      <c r="AW44" s="803"/>
      <c r="AX44" s="803"/>
      <c r="AY44" s="803"/>
      <c r="AZ44" s="803"/>
      <c r="BA44" s="803"/>
      <c r="BB44" s="803"/>
      <c r="BC44" s="803"/>
      <c r="BD44" s="803"/>
      <c r="BE44" s="1144"/>
      <c r="BF44" s="802"/>
      <c r="BG44" s="302"/>
      <c r="BH44" s="570"/>
      <c r="BI44" s="821"/>
      <c r="BJ44" s="860"/>
      <c r="BK44" s="807"/>
      <c r="BL44" s="807"/>
    </row>
    <row r="45" spans="1:64" ht="125.15" customHeight="1" x14ac:dyDescent="0.35">
      <c r="A45" s="1459">
        <v>15</v>
      </c>
      <c r="B45" s="1358" t="s">
        <v>1733</v>
      </c>
      <c r="C45" s="1281" t="s">
        <v>1734</v>
      </c>
      <c r="D45" s="1281" t="s">
        <v>1614</v>
      </c>
      <c r="E45" s="1470"/>
      <c r="F45" s="856"/>
      <c r="G45" s="857"/>
      <c r="H45" s="857"/>
      <c r="I45" s="857"/>
      <c r="J45" s="857"/>
      <c r="K45" s="857"/>
      <c r="L45" s="857"/>
      <c r="M45" s="857"/>
      <c r="N45" s="858"/>
      <c r="O45" s="1281" t="s">
        <v>1735</v>
      </c>
      <c r="P45" s="1281" t="s">
        <v>1736</v>
      </c>
      <c r="Q45" s="324"/>
      <c r="R45" s="324"/>
      <c r="S45" s="1281" t="s">
        <v>1737</v>
      </c>
      <c r="T45" s="1311" t="s">
        <v>2301</v>
      </c>
      <c r="U45" s="329"/>
      <c r="V45" s="1268"/>
      <c r="W45" s="612"/>
      <c r="X45" s="589"/>
      <c r="Y45" s="1281" t="s">
        <v>1739</v>
      </c>
      <c r="Z45" s="1311" t="s">
        <v>1738</v>
      </c>
      <c r="AA45" s="624"/>
      <c r="AB45" s="618"/>
      <c r="AC45" s="1281"/>
      <c r="AD45" s="1311"/>
      <c r="AE45" s="329"/>
      <c r="AF45" s="1125"/>
      <c r="AG45" s="1309">
        <v>15</v>
      </c>
      <c r="AH45" s="1275">
        <v>15</v>
      </c>
      <c r="AI45" s="1271" t="s">
        <v>1733</v>
      </c>
      <c r="AJ45" s="1293" t="s">
        <v>1734</v>
      </c>
      <c r="AK45" s="734"/>
      <c r="AL45" s="752"/>
      <c r="AM45" s="752"/>
      <c r="AN45" s="727"/>
      <c r="AO45" s="329"/>
      <c r="AP45" s="1193"/>
      <c r="AQ45" s="1194"/>
      <c r="AR45" s="885"/>
      <c r="AS45" s="886"/>
      <c r="AT45" s="886"/>
      <c r="AU45" s="886"/>
      <c r="AV45" s="886"/>
      <c r="AW45" s="886"/>
      <c r="AX45" s="886"/>
      <c r="AY45" s="886"/>
      <c r="AZ45" s="886"/>
      <c r="BA45" s="886"/>
      <c r="BB45" s="886"/>
      <c r="BC45" s="886"/>
      <c r="BD45" s="886"/>
      <c r="BE45" s="1088"/>
      <c r="BF45" s="734"/>
      <c r="BG45" s="886"/>
      <c r="BH45" s="888"/>
      <c r="BI45" s="1432">
        <v>15</v>
      </c>
      <c r="BJ45" s="860"/>
      <c r="BK45" s="1328"/>
      <c r="BL45" s="1328"/>
    </row>
    <row r="46" spans="1:64" ht="125.15" customHeight="1" thickBot="1" x14ac:dyDescent="0.4">
      <c r="A46" s="1460"/>
      <c r="B46" s="1362"/>
      <c r="C46" s="1302"/>
      <c r="D46" s="1302"/>
      <c r="E46" s="1485"/>
      <c r="F46" s="1355" t="s">
        <v>1593</v>
      </c>
      <c r="G46" s="1356"/>
      <c r="H46" s="1356"/>
      <c r="I46" s="1356"/>
      <c r="J46" s="1356"/>
      <c r="K46" s="1356"/>
      <c r="L46" s="1356"/>
      <c r="M46" s="1356"/>
      <c r="N46" s="1357"/>
      <c r="O46" s="1302"/>
      <c r="P46" s="1302"/>
      <c r="Q46" s="465">
        <v>904800</v>
      </c>
      <c r="R46" s="465">
        <v>1080462</v>
      </c>
      <c r="S46" s="1302"/>
      <c r="T46" s="1334"/>
      <c r="U46" s="331"/>
      <c r="V46" s="1269"/>
      <c r="W46" s="607">
        <f>Q46</f>
        <v>904800</v>
      </c>
      <c r="X46" s="608">
        <f>W46</f>
        <v>904800</v>
      </c>
      <c r="Y46" s="1302"/>
      <c r="Z46" s="1334"/>
      <c r="AA46" s="1195"/>
      <c r="AB46" s="611"/>
      <c r="AC46" s="1302"/>
      <c r="AD46" s="1334"/>
      <c r="AE46" s="331"/>
      <c r="AF46" s="1196"/>
      <c r="AG46" s="1310"/>
      <c r="AH46" s="1276"/>
      <c r="AI46" s="1296"/>
      <c r="AJ46" s="1294"/>
      <c r="AK46" s="973"/>
      <c r="AL46" s="893"/>
      <c r="AM46" s="893"/>
      <c r="AN46" s="836">
        <f>232*AN4</f>
        <v>174000</v>
      </c>
      <c r="AO46" s="480"/>
      <c r="AP46" s="836">
        <f>232*AP4</f>
        <v>487200</v>
      </c>
      <c r="AQ46" s="1197">
        <f>232*AQ4</f>
        <v>243600</v>
      </c>
      <c r="AR46" s="895"/>
      <c r="AS46" s="893"/>
      <c r="AT46" s="893"/>
      <c r="AU46" s="893"/>
      <c r="AV46" s="893"/>
      <c r="AW46" s="893"/>
      <c r="AX46" s="893"/>
      <c r="AY46" s="893"/>
      <c r="AZ46" s="893"/>
      <c r="BA46" s="893"/>
      <c r="BB46" s="893"/>
      <c r="BC46" s="893"/>
      <c r="BD46" s="893"/>
      <c r="BE46" s="1198"/>
      <c r="BF46" s="891"/>
      <c r="BG46" s="893"/>
      <c r="BH46" s="897"/>
      <c r="BI46" s="1433"/>
      <c r="BJ46" s="860"/>
      <c r="BK46" s="1327"/>
      <c r="BL46" s="1327"/>
    </row>
    <row r="47" spans="1:64" ht="99.9" customHeight="1" thickTop="1" x14ac:dyDescent="0.35">
      <c r="A47" s="1076"/>
      <c r="B47" s="1368"/>
      <c r="C47" s="1370" t="s">
        <v>1576</v>
      </c>
      <c r="D47" s="1347"/>
      <c r="E47" s="1347"/>
      <c r="F47" s="1347"/>
      <c r="G47" s="1347"/>
      <c r="H47" s="1347"/>
      <c r="I47" s="1347"/>
      <c r="J47" s="1347"/>
      <c r="K47" s="1347"/>
      <c r="L47" s="1347"/>
      <c r="M47" s="1347"/>
      <c r="N47" s="1347"/>
      <c r="O47" s="1347"/>
      <c r="P47" s="1347"/>
      <c r="Q47" s="1349" t="s">
        <v>1</v>
      </c>
      <c r="R47" s="1446" t="s">
        <v>2197</v>
      </c>
      <c r="S47" s="1337"/>
      <c r="T47" s="1337"/>
      <c r="U47" s="1351" t="s">
        <v>2</v>
      </c>
      <c r="V47" s="1337"/>
      <c r="W47" s="1542" t="s">
        <v>856</v>
      </c>
      <c r="X47" s="1547" t="s">
        <v>1267</v>
      </c>
      <c r="Y47" s="1335"/>
      <c r="Z47" s="1337"/>
      <c r="AA47" s="1542" t="s">
        <v>506</v>
      </c>
      <c r="AB47" s="1547" t="s">
        <v>1740</v>
      </c>
      <c r="AC47" s="1335"/>
      <c r="AD47" s="1337"/>
      <c r="AE47" s="1501" t="s">
        <v>508</v>
      </c>
      <c r="AF47" s="1486"/>
      <c r="AG47" s="813"/>
      <c r="AH47" s="814"/>
      <c r="AI47" s="1332"/>
      <c r="AJ47" s="1304" t="s">
        <v>1576</v>
      </c>
      <c r="AK47" s="976" t="s">
        <v>2234</v>
      </c>
      <c r="AL47" s="977" t="s">
        <v>2235</v>
      </c>
      <c r="AM47" s="977" t="s">
        <v>2236</v>
      </c>
      <c r="AN47" s="977" t="s">
        <v>2237</v>
      </c>
      <c r="AO47" s="977" t="s">
        <v>2238</v>
      </c>
      <c r="AP47" s="977" t="s">
        <v>2239</v>
      </c>
      <c r="AQ47" s="978" t="s">
        <v>2240</v>
      </c>
      <c r="AR47" s="979" t="s">
        <v>2241</v>
      </c>
      <c r="AS47" s="977" t="s">
        <v>2242</v>
      </c>
      <c r="AT47" s="977" t="s">
        <v>2243</v>
      </c>
      <c r="AU47" s="977" t="s">
        <v>2244</v>
      </c>
      <c r="AV47" s="977" t="s">
        <v>2245</v>
      </c>
      <c r="AW47" s="977" t="s">
        <v>2246</v>
      </c>
      <c r="AX47" s="977" t="s">
        <v>2247</v>
      </c>
      <c r="AY47" s="977" t="s">
        <v>2248</v>
      </c>
      <c r="AZ47" s="977" t="s">
        <v>2249</v>
      </c>
      <c r="BA47" s="977" t="s">
        <v>2250</v>
      </c>
      <c r="BB47" s="977" t="s">
        <v>2251</v>
      </c>
      <c r="BC47" s="977" t="s">
        <v>2252</v>
      </c>
      <c r="BD47" s="977" t="s">
        <v>2253</v>
      </c>
      <c r="BE47" s="1108" t="s">
        <v>2254</v>
      </c>
      <c r="BF47" s="976" t="s">
        <v>2255</v>
      </c>
      <c r="BG47" s="1343" t="s">
        <v>41</v>
      </c>
      <c r="BH47" s="1345" t="s">
        <v>42</v>
      </c>
      <c r="BI47" s="868"/>
      <c r="BJ47" s="860"/>
      <c r="BK47" s="1328"/>
      <c r="BL47" s="1328"/>
    </row>
    <row r="48" spans="1:64" s="793" customFormat="1" ht="50.15" customHeight="1" x14ac:dyDescent="0.35">
      <c r="A48" s="1105"/>
      <c r="B48" s="1369"/>
      <c r="C48" s="1371"/>
      <c r="D48" s="1348"/>
      <c r="E48" s="1348"/>
      <c r="F48" s="454"/>
      <c r="G48" s="454"/>
      <c r="H48" s="454"/>
      <c r="I48" s="454"/>
      <c r="J48" s="454"/>
      <c r="K48" s="454"/>
      <c r="L48" s="454"/>
      <c r="M48" s="454"/>
      <c r="N48" s="454"/>
      <c r="O48" s="1348"/>
      <c r="P48" s="1348"/>
      <c r="Q48" s="1350"/>
      <c r="R48" s="1447"/>
      <c r="S48" s="1338"/>
      <c r="T48" s="1338"/>
      <c r="U48" s="1352"/>
      <c r="V48" s="1338"/>
      <c r="W48" s="1543"/>
      <c r="X48" s="1548"/>
      <c r="Y48" s="1336"/>
      <c r="Z48" s="1338"/>
      <c r="AA48" s="1543"/>
      <c r="AB48" s="1548"/>
      <c r="AC48" s="1336"/>
      <c r="AD48" s="1338"/>
      <c r="AE48" s="1502"/>
      <c r="AF48" s="1487"/>
      <c r="AG48" s="781"/>
      <c r="AH48" s="782"/>
      <c r="AI48" s="1333"/>
      <c r="AJ48" s="1305"/>
      <c r="AK48" s="981">
        <v>8500</v>
      </c>
      <c r="AL48" s="982">
        <v>1500</v>
      </c>
      <c r="AM48" s="982">
        <v>2600</v>
      </c>
      <c r="AN48" s="983">
        <v>750</v>
      </c>
      <c r="AO48" s="983" t="s">
        <v>48</v>
      </c>
      <c r="AP48" s="982">
        <v>2100</v>
      </c>
      <c r="AQ48" s="984">
        <v>1050</v>
      </c>
      <c r="AR48" s="985">
        <v>550</v>
      </c>
      <c r="AS48" s="983">
        <v>70</v>
      </c>
      <c r="AT48" s="983">
        <v>30</v>
      </c>
      <c r="AU48" s="983">
        <v>35</v>
      </c>
      <c r="AV48" s="983">
        <v>35</v>
      </c>
      <c r="AW48" s="983">
        <v>20</v>
      </c>
      <c r="AX48" s="983">
        <v>16</v>
      </c>
      <c r="AY48" s="983">
        <v>15</v>
      </c>
      <c r="AZ48" s="983">
        <v>13</v>
      </c>
      <c r="BA48" s="983">
        <v>10</v>
      </c>
      <c r="BB48" s="983">
        <v>10</v>
      </c>
      <c r="BC48" s="983">
        <v>10</v>
      </c>
      <c r="BD48" s="983">
        <v>10</v>
      </c>
      <c r="BE48" s="1110">
        <v>10</v>
      </c>
      <c r="BF48" s="981">
        <v>2120</v>
      </c>
      <c r="BG48" s="1344"/>
      <c r="BH48" s="1346"/>
      <c r="BI48" s="880"/>
      <c r="BJ48" s="860"/>
      <c r="BK48" s="1327"/>
      <c r="BL48" s="1327"/>
    </row>
    <row r="49" spans="1:64" ht="17.25" customHeight="1" thickBot="1" x14ac:dyDescent="0.4">
      <c r="A49" s="1077"/>
      <c r="B49" s="988"/>
      <c r="C49" s="573"/>
      <c r="D49" s="573"/>
      <c r="E49" s="989" t="s">
        <v>857</v>
      </c>
      <c r="F49" s="574"/>
      <c r="G49" s="574"/>
      <c r="H49" s="574"/>
      <c r="I49" s="574"/>
      <c r="J49" s="574"/>
      <c r="K49" s="574"/>
      <c r="L49" s="574"/>
      <c r="M49" s="574"/>
      <c r="N49" s="578"/>
      <c r="O49" s="574"/>
      <c r="P49" s="573"/>
      <c r="Q49" s="590"/>
      <c r="R49" s="595"/>
      <c r="S49" s="592"/>
      <c r="T49" s="577"/>
      <c r="U49" s="590"/>
      <c r="V49" s="579"/>
      <c r="W49" s="581"/>
      <c r="X49" s="596"/>
      <c r="Y49" s="620"/>
      <c r="Z49" s="576"/>
      <c r="AA49" s="595"/>
      <c r="AB49" s="596"/>
      <c r="AC49" s="620"/>
      <c r="AD49" s="577"/>
      <c r="AE49" s="593"/>
      <c r="AF49" s="1111"/>
      <c r="AG49" s="798"/>
      <c r="AH49" s="770"/>
      <c r="AI49" s="991"/>
      <c r="AJ49" s="992" t="s">
        <v>857</v>
      </c>
      <c r="AK49" s="993"/>
      <c r="AL49" s="994"/>
      <c r="AM49" s="994"/>
      <c r="AN49" s="994"/>
      <c r="AO49" s="994"/>
      <c r="AP49" s="994"/>
      <c r="AQ49" s="995"/>
      <c r="AR49" s="996"/>
      <c r="AS49" s="994"/>
      <c r="AT49" s="994"/>
      <c r="AU49" s="994"/>
      <c r="AV49" s="994"/>
      <c r="AW49" s="994"/>
      <c r="AX49" s="994"/>
      <c r="AY49" s="994"/>
      <c r="AZ49" s="994"/>
      <c r="BA49" s="994"/>
      <c r="BB49" s="994"/>
      <c r="BC49" s="994"/>
      <c r="BD49" s="994"/>
      <c r="BE49" s="1112"/>
      <c r="BF49" s="993"/>
      <c r="BG49" s="997"/>
      <c r="BH49" s="998"/>
      <c r="BJ49" s="860"/>
      <c r="BK49" s="807"/>
      <c r="BL49" s="807"/>
    </row>
    <row r="50" spans="1:64" s="1012" customFormat="1" ht="19" thickTop="1" x14ac:dyDescent="0.35">
      <c r="A50" s="821">
        <v>16</v>
      </c>
      <c r="B50" s="1000"/>
      <c r="C50" s="1000"/>
      <c r="D50" s="1000"/>
      <c r="E50" s="1001" t="s">
        <v>2206</v>
      </c>
      <c r="F50" s="1002"/>
      <c r="G50" s="1002"/>
      <c r="H50" s="1002"/>
      <c r="I50" s="1002"/>
      <c r="J50" s="1002"/>
      <c r="K50" s="1002"/>
      <c r="L50" s="1002"/>
      <c r="M50" s="1002"/>
      <c r="N50" s="1002"/>
      <c r="O50" s="1003"/>
      <c r="P50" s="1002"/>
      <c r="Q50" s="1004">
        <f>Q7+Q10+Q12+Q14+Q16+Q18+Q21+Q23+Q31+Q33+Q35+Q37+Q40+Q43+Q46</f>
        <v>34458575</v>
      </c>
      <c r="R50" s="1004">
        <f>R10+Q18+R31+R33+R46</f>
        <v>38209534</v>
      </c>
      <c r="S50" s="1005"/>
      <c r="T50" s="1005"/>
      <c r="U50" s="1006"/>
      <c r="V50" s="1005"/>
      <c r="W50" s="1009"/>
      <c r="X50" s="1006"/>
      <c r="Y50" s="1010"/>
      <c r="Z50" s="1005"/>
      <c r="AA50" s="1009"/>
      <c r="AB50" s="1006"/>
      <c r="AC50" s="1010"/>
      <c r="AD50" s="1005"/>
      <c r="AE50" s="1009"/>
      <c r="AF50" s="1011"/>
      <c r="AG50" s="821">
        <v>16</v>
      </c>
      <c r="AH50" s="758"/>
      <c r="AI50" s="1011"/>
      <c r="AJ50" s="1011"/>
      <c r="AK50" s="1006"/>
      <c r="AL50" s="1007"/>
      <c r="AM50" s="1007"/>
      <c r="AN50" s="1007"/>
      <c r="AO50" s="1007"/>
      <c r="AP50" s="1007"/>
      <c r="AQ50" s="1007"/>
      <c r="AR50" s="1007"/>
      <c r="AS50" s="1007"/>
      <c r="AT50" s="1007"/>
      <c r="AU50" s="1007"/>
      <c r="AV50" s="1007"/>
      <c r="AW50" s="1007"/>
      <c r="AX50" s="1007"/>
      <c r="AY50" s="1007"/>
      <c r="AZ50" s="1007"/>
      <c r="BA50" s="1007"/>
      <c r="BB50" s="1007"/>
      <c r="BC50" s="1007"/>
      <c r="BD50" s="1007"/>
      <c r="BE50" s="1007"/>
      <c r="BF50" s="1007"/>
      <c r="BG50" s="1007"/>
      <c r="BH50" s="1007"/>
      <c r="BI50" s="758"/>
      <c r="BJ50" s="860"/>
      <c r="BK50" s="1326"/>
      <c r="BL50" s="1326"/>
    </row>
    <row r="51" spans="1:64" s="1012" customFormat="1" ht="18.5" x14ac:dyDescent="0.35">
      <c r="A51" s="821">
        <v>17</v>
      </c>
      <c r="B51" s="1013"/>
      <c r="C51" s="1014"/>
      <c r="D51" s="1014"/>
      <c r="E51" s="1015" t="s">
        <v>859</v>
      </c>
      <c r="F51" s="1016"/>
      <c r="G51" s="1016"/>
      <c r="H51" s="1016"/>
      <c r="I51" s="1016"/>
      <c r="J51" s="1016"/>
      <c r="K51" s="1016"/>
      <c r="L51" s="1016"/>
      <c r="M51" s="1016"/>
      <c r="N51" s="1016"/>
      <c r="O51" s="1017"/>
      <c r="P51" s="1018"/>
      <c r="Q51" s="1016"/>
      <c r="R51" s="1016"/>
      <c r="S51" s="1018"/>
      <c r="T51" s="1018"/>
      <c r="U51" s="1019">
        <f>U7+U10+U12+U14+U16+U18+U21+U23+U31+U33+U35+U37+U40+U43+U46</f>
        <v>7892921</v>
      </c>
      <c r="V51" s="1020"/>
      <c r="W51" s="1113"/>
      <c r="X51" s="1113"/>
      <c r="Y51" s="1020"/>
      <c r="AA51" s="1023"/>
      <c r="AB51" s="1113"/>
      <c r="AC51" s="1020"/>
      <c r="AE51" s="1023"/>
      <c r="AG51" s="821">
        <v>17</v>
      </c>
      <c r="AH51" s="758"/>
      <c r="AJ51" s="1024"/>
      <c r="AK51" s="1023"/>
      <c r="AL51" s="1025"/>
      <c r="AM51" s="1025"/>
      <c r="AN51" s="1025"/>
      <c r="AO51" s="1025"/>
      <c r="AP51" s="1025"/>
      <c r="AQ51" s="1025"/>
      <c r="AR51" s="1025"/>
      <c r="AS51" s="1025"/>
      <c r="AT51" s="1025"/>
      <c r="AU51" s="1025"/>
      <c r="AV51" s="1025"/>
      <c r="AW51" s="1025"/>
      <c r="AX51" s="1025"/>
      <c r="AY51" s="1025"/>
      <c r="AZ51" s="1025"/>
      <c r="BA51" s="1025"/>
      <c r="BB51" s="1025"/>
      <c r="BC51" s="1025"/>
      <c r="BD51" s="1025"/>
      <c r="BE51" s="1025"/>
      <c r="BF51" s="1025"/>
      <c r="BG51" s="1025"/>
      <c r="BH51" s="1025"/>
      <c r="BI51" s="758"/>
      <c r="BJ51" s="860"/>
      <c r="BK51" s="1326"/>
      <c r="BL51" s="1326"/>
    </row>
    <row r="52" spans="1:64" s="1012" customFormat="1" ht="18.5" x14ac:dyDescent="0.35">
      <c r="A52" s="821">
        <v>18</v>
      </c>
      <c r="B52" s="1026"/>
      <c r="C52" s="1026"/>
      <c r="D52" s="1026"/>
      <c r="E52" s="1027" t="s">
        <v>860</v>
      </c>
      <c r="F52" s="1028"/>
      <c r="G52" s="1028"/>
      <c r="H52" s="1028"/>
      <c r="I52" s="1028"/>
      <c r="J52" s="1028"/>
      <c r="K52" s="1028"/>
      <c r="L52" s="1028"/>
      <c r="M52" s="1028"/>
      <c r="N52" s="1028"/>
      <c r="O52" s="1029"/>
      <c r="P52" s="1030"/>
      <c r="Q52" s="1028"/>
      <c r="R52" s="1028"/>
      <c r="S52" s="1030"/>
      <c r="T52" s="1030"/>
      <c r="U52" s="1028"/>
      <c r="V52" s="1028"/>
      <c r="W52" s="1114">
        <f>W7+W10+W12+W14+W16+W18+W21+W23+W31+W33+W35+W37+W40+W43+W46</f>
        <v>20569582</v>
      </c>
      <c r="X52" s="1115"/>
      <c r="Y52" s="1034"/>
      <c r="Z52" s="1033"/>
      <c r="AA52" s="1114">
        <f>AA7+AA10+AA12+AA14+AA16+AA18+AA21+AA23+AA31+AA33+AA35+AA37+AA40+AA43+AA46</f>
        <v>21515645.303030305</v>
      </c>
      <c r="AB52" s="1115"/>
      <c r="AC52" s="1034"/>
      <c r="AD52" s="1033"/>
      <c r="AE52" s="1114">
        <f>AE7+AE10+AE12+AE14+AE16+AE18+AE21+AE23+AE31+AE33+AE35+AE37+AE40+AE43+AE46</f>
        <v>0</v>
      </c>
      <c r="AF52" s="1011"/>
      <c r="AG52" s="821">
        <v>18</v>
      </c>
      <c r="AH52" s="881"/>
      <c r="AI52" s="1011"/>
      <c r="AJ52" s="1011"/>
      <c r="AK52" s="1006"/>
      <c r="AL52" s="1007"/>
      <c r="AM52" s="1007"/>
      <c r="AN52" s="1007"/>
      <c r="AO52" s="1007"/>
      <c r="AP52" s="1007"/>
      <c r="AQ52" s="1007"/>
      <c r="AR52" s="1007"/>
      <c r="AS52" s="1007"/>
      <c r="AT52" s="1007"/>
      <c r="AU52" s="1007"/>
      <c r="AV52" s="1007"/>
      <c r="AW52" s="1007"/>
      <c r="AX52" s="1007"/>
      <c r="AY52" s="1007"/>
      <c r="AZ52" s="1007"/>
      <c r="BA52" s="1007"/>
      <c r="BB52" s="1007"/>
      <c r="BC52" s="1007"/>
      <c r="BD52" s="1007"/>
      <c r="BE52" s="1007"/>
      <c r="BF52" s="1007"/>
      <c r="BG52" s="1007"/>
      <c r="BH52" s="1007"/>
      <c r="BI52" s="881"/>
      <c r="BJ52" s="860"/>
      <c r="BK52" s="1326"/>
      <c r="BL52" s="1326"/>
    </row>
    <row r="53" spans="1:64" s="1012" customFormat="1" ht="18.5" x14ac:dyDescent="0.35">
      <c r="A53" s="821">
        <v>19</v>
      </c>
      <c r="B53" s="1036"/>
      <c r="C53" s="1036"/>
      <c r="D53" s="1036"/>
      <c r="E53" s="1037" t="s">
        <v>861</v>
      </c>
      <c r="F53" s="1038"/>
      <c r="G53" s="1038"/>
      <c r="H53" s="1038"/>
      <c r="I53" s="1038"/>
      <c r="J53" s="1038"/>
      <c r="K53" s="1038"/>
      <c r="L53" s="1038"/>
      <c r="M53" s="1038"/>
      <c r="N53" s="1038"/>
      <c r="O53" s="1039"/>
      <c r="P53" s="1040"/>
      <c r="Q53" s="1038"/>
      <c r="R53" s="1038"/>
      <c r="S53" s="1040"/>
      <c r="T53" s="1040"/>
      <c r="U53" s="1038"/>
      <c r="V53" s="1038"/>
      <c r="W53" s="1038"/>
      <c r="X53" s="1041">
        <f>X7+X10+X12+X14+X16+X18+X21+X23+X31+X33+X35+X37+X40+X43+X46</f>
        <v>7368798.6969696973</v>
      </c>
      <c r="Y53" s="1155"/>
      <c r="Z53" s="1043"/>
      <c r="AA53" s="1043"/>
      <c r="AB53" s="1041">
        <f>AB7+AB10+AB12+AB14+AB16+AB18+AB21+AB23+AB31+AB33+AB35+AB37+AB40+AB43+AB46</f>
        <v>0</v>
      </c>
      <c r="AC53" s="1020"/>
      <c r="AE53" s="1116"/>
      <c r="AG53" s="821">
        <v>19</v>
      </c>
      <c r="AH53" s="821">
        <v>19</v>
      </c>
      <c r="AI53" s="1036"/>
      <c r="AJ53" s="1037" t="s">
        <v>862</v>
      </c>
      <c r="AK53" s="1117">
        <f>AK7+AK10+AK12+AK14+AK16+AK18+AK21+AK23+AK31+AK33+AK35+AK37+AK40+AK43+AK46</f>
        <v>3240317</v>
      </c>
      <c r="AL53" s="1117">
        <f t="shared" ref="AL53:BH53" si="0">AL7+AL10+AL12+AL14+AL16+AL18+AL21+AL23+AL31+AL33+AL35+AL37+AL40+AL43+AL46</f>
        <v>413140</v>
      </c>
      <c r="AM53" s="1117">
        <f t="shared" si="0"/>
        <v>78787.878787878784</v>
      </c>
      <c r="AN53" s="1117">
        <f t="shared" si="0"/>
        <v>196727.27272727274</v>
      </c>
      <c r="AO53" s="1117">
        <f t="shared" si="0"/>
        <v>0</v>
      </c>
      <c r="AP53" s="1117">
        <f t="shared" si="0"/>
        <v>550836.36363636365</v>
      </c>
      <c r="AQ53" s="1117">
        <f t="shared" si="0"/>
        <v>275418.18181818182</v>
      </c>
      <c r="AR53" s="1117">
        <f t="shared" si="0"/>
        <v>0</v>
      </c>
      <c r="AS53" s="1117">
        <f t="shared" si="0"/>
        <v>0</v>
      </c>
      <c r="AT53" s="1117">
        <f t="shared" si="0"/>
        <v>0</v>
      </c>
      <c r="AU53" s="1117">
        <f t="shared" si="0"/>
        <v>0</v>
      </c>
      <c r="AV53" s="1117">
        <f t="shared" si="0"/>
        <v>0</v>
      </c>
      <c r="AW53" s="1117">
        <f t="shared" si="0"/>
        <v>0</v>
      </c>
      <c r="AX53" s="1117">
        <f t="shared" si="0"/>
        <v>0</v>
      </c>
      <c r="AY53" s="1117">
        <f t="shared" si="0"/>
        <v>0</v>
      </c>
      <c r="AZ53" s="1117">
        <f t="shared" si="0"/>
        <v>0</v>
      </c>
      <c r="BA53" s="1117">
        <f t="shared" si="0"/>
        <v>0</v>
      </c>
      <c r="BB53" s="1117">
        <f t="shared" si="0"/>
        <v>0</v>
      </c>
      <c r="BC53" s="1117">
        <f t="shared" si="0"/>
        <v>0</v>
      </c>
      <c r="BD53" s="1117">
        <f t="shared" si="0"/>
        <v>0</v>
      </c>
      <c r="BE53" s="1117">
        <f t="shared" si="0"/>
        <v>0</v>
      </c>
      <c r="BF53" s="1117">
        <f t="shared" si="0"/>
        <v>0</v>
      </c>
      <c r="BG53" s="1117">
        <f t="shared" si="0"/>
        <v>0</v>
      </c>
      <c r="BH53" s="1117">
        <f t="shared" si="0"/>
        <v>0</v>
      </c>
      <c r="BI53" s="821">
        <v>19</v>
      </c>
      <c r="BJ53" s="860"/>
      <c r="BK53" s="1326"/>
      <c r="BL53" s="1326"/>
    </row>
    <row r="54" spans="1:64" s="1012" customFormat="1" ht="15" customHeight="1" x14ac:dyDescent="0.35">
      <c r="A54" s="758"/>
      <c r="B54" s="1072" t="s">
        <v>449</v>
      </c>
      <c r="C54" s="1072" t="s">
        <v>450</v>
      </c>
      <c r="D54" s="1072" t="s">
        <v>451</v>
      </c>
      <c r="E54" s="1072" t="s">
        <v>452</v>
      </c>
      <c r="F54" s="1464" t="s">
        <v>453</v>
      </c>
      <c r="G54" s="1464"/>
      <c r="H54" s="1464"/>
      <c r="I54" s="1464"/>
      <c r="J54" s="1464"/>
      <c r="K54" s="1464"/>
      <c r="L54" s="1464"/>
      <c r="M54" s="1464"/>
      <c r="N54" s="1464"/>
      <c r="O54" s="1072" t="s">
        <v>454</v>
      </c>
      <c r="P54" s="1072" t="s">
        <v>455</v>
      </c>
      <c r="Q54" s="1072" t="s">
        <v>456</v>
      </c>
      <c r="R54" s="1072"/>
      <c r="S54" s="1072" t="s">
        <v>457</v>
      </c>
      <c r="T54" s="1072" t="s">
        <v>458</v>
      </c>
      <c r="U54" s="1072" t="s">
        <v>459</v>
      </c>
      <c r="V54" s="1072" t="s">
        <v>460</v>
      </c>
      <c r="W54" s="1072" t="s">
        <v>461</v>
      </c>
      <c r="X54" s="1072" t="s">
        <v>242</v>
      </c>
      <c r="Y54" s="1072" t="s">
        <v>462</v>
      </c>
      <c r="Z54" s="1072" t="s">
        <v>463</v>
      </c>
      <c r="AA54" s="1072" t="s">
        <v>464</v>
      </c>
      <c r="AB54" s="1072" t="s">
        <v>465</v>
      </c>
      <c r="AC54" s="1072" t="s">
        <v>466</v>
      </c>
      <c r="AD54" s="1072" t="s">
        <v>467</v>
      </c>
      <c r="AE54" s="1072" t="s">
        <v>468</v>
      </c>
      <c r="AF54" s="1072" t="s">
        <v>469</v>
      </c>
      <c r="AG54" s="758"/>
      <c r="AH54" s="758"/>
      <c r="AI54" s="1072" t="s">
        <v>449</v>
      </c>
      <c r="AJ54" s="1072" t="s">
        <v>450</v>
      </c>
      <c r="AK54" s="1072" t="s">
        <v>471</v>
      </c>
      <c r="AL54" s="1072" t="s">
        <v>472</v>
      </c>
      <c r="AM54" s="1072" t="s">
        <v>473</v>
      </c>
      <c r="AN54" s="1072" t="s">
        <v>474</v>
      </c>
      <c r="AO54" s="1072" t="s">
        <v>475</v>
      </c>
      <c r="AP54" s="1072" t="s">
        <v>476</v>
      </c>
      <c r="AQ54" s="1072" t="s">
        <v>477</v>
      </c>
      <c r="AR54" s="1072" t="s">
        <v>478</v>
      </c>
      <c r="AS54" s="1072" t="s">
        <v>479</v>
      </c>
      <c r="AT54" s="1072" t="s">
        <v>480</v>
      </c>
      <c r="AU54" s="1072" t="s">
        <v>481</v>
      </c>
      <c r="AV54" s="1072" t="s">
        <v>482</v>
      </c>
      <c r="AW54" s="1072" t="s">
        <v>483</v>
      </c>
      <c r="AX54" s="1072" t="s">
        <v>484</v>
      </c>
      <c r="AY54" s="1072" t="s">
        <v>485</v>
      </c>
      <c r="AZ54" s="1072" t="s">
        <v>486</v>
      </c>
      <c r="BA54" s="1072" t="s">
        <v>487</v>
      </c>
      <c r="BB54" s="1072" t="s">
        <v>488</v>
      </c>
      <c r="BC54" s="1072" t="s">
        <v>489</v>
      </c>
      <c r="BD54" s="1072" t="s">
        <v>490</v>
      </c>
      <c r="BE54" s="1072" t="s">
        <v>491</v>
      </c>
      <c r="BF54" s="1072" t="s">
        <v>492</v>
      </c>
      <c r="BG54" s="1072" t="s">
        <v>493</v>
      </c>
      <c r="BH54" s="1072" t="s">
        <v>494</v>
      </c>
      <c r="BI54" s="758"/>
      <c r="BJ54" s="889"/>
      <c r="BK54" s="1326"/>
      <c r="BL54" s="1326"/>
    </row>
    <row r="55" spans="1:64" s="758" customFormat="1" ht="15" customHeight="1" x14ac:dyDescent="0.35">
      <c r="Q55" s="758" t="s">
        <v>463</v>
      </c>
      <c r="U55" s="758" t="s">
        <v>466</v>
      </c>
      <c r="W55" s="758" t="s">
        <v>468</v>
      </c>
      <c r="X55" s="758" t="s">
        <v>469</v>
      </c>
      <c r="AA55" s="758" t="s">
        <v>257</v>
      </c>
      <c r="AB55" s="758" t="s">
        <v>1269</v>
      </c>
      <c r="AE55" s="758" t="s">
        <v>473</v>
      </c>
      <c r="AK55" s="880" t="s">
        <v>475</v>
      </c>
      <c r="AL55" s="880" t="s">
        <v>476</v>
      </c>
      <c r="AM55" s="880" t="s">
        <v>477</v>
      </c>
      <c r="AN55" s="880" t="s">
        <v>478</v>
      </c>
      <c r="AO55" s="880" t="s">
        <v>479</v>
      </c>
      <c r="AP55" s="880" t="s">
        <v>480</v>
      </c>
      <c r="AQ55" s="880" t="s">
        <v>481</v>
      </c>
      <c r="AR55" s="880" t="s">
        <v>482</v>
      </c>
      <c r="AS55" s="880" t="s">
        <v>483</v>
      </c>
      <c r="AT55" s="880" t="s">
        <v>484</v>
      </c>
      <c r="AU55" s="880" t="s">
        <v>485</v>
      </c>
      <c r="AV55" s="880" t="s">
        <v>486</v>
      </c>
      <c r="AW55" s="880" t="s">
        <v>487</v>
      </c>
      <c r="AX55" s="880" t="s">
        <v>488</v>
      </c>
      <c r="AY55" s="880" t="s">
        <v>489</v>
      </c>
      <c r="AZ55" s="880" t="s">
        <v>490</v>
      </c>
      <c r="BA55" s="880" t="s">
        <v>491</v>
      </c>
      <c r="BB55" s="880" t="s">
        <v>492</v>
      </c>
      <c r="BC55" s="880" t="s">
        <v>493</v>
      </c>
      <c r="BD55" s="880" t="s">
        <v>494</v>
      </c>
      <c r="BE55" s="880" t="s">
        <v>1270</v>
      </c>
      <c r="BF55" s="758" t="s">
        <v>1271</v>
      </c>
      <c r="BG55" s="758" t="s">
        <v>1272</v>
      </c>
      <c r="BH55" s="758" t="s">
        <v>1273</v>
      </c>
      <c r="BJ55" s="1156"/>
      <c r="BK55" s="1327"/>
      <c r="BL55" s="1327"/>
    </row>
    <row r="56" spans="1:64" s="1012" customFormat="1" ht="18.5" x14ac:dyDescent="0.35">
      <c r="A56" s="758"/>
      <c r="E56" s="1020"/>
      <c r="F56" s="1020"/>
      <c r="G56" s="1020"/>
      <c r="H56" s="1020"/>
      <c r="I56" s="1020"/>
      <c r="J56" s="1020"/>
      <c r="K56" s="1020"/>
      <c r="L56" s="1020"/>
      <c r="M56" s="1020"/>
      <c r="N56" s="1020"/>
      <c r="O56" s="1020"/>
      <c r="Q56" s="1020"/>
      <c r="R56" s="1020"/>
      <c r="U56" s="1020"/>
      <c r="V56" s="1020"/>
      <c r="W56" s="1020"/>
      <c r="X56" s="1020"/>
      <c r="Y56" s="1020"/>
      <c r="AB56" s="1020"/>
      <c r="AC56" s="1020"/>
      <c r="AG56" s="758"/>
      <c r="AH56" s="758"/>
      <c r="BI56" s="758"/>
      <c r="BJ56" s="761"/>
      <c r="BK56" s="761"/>
      <c r="BL56" s="761"/>
    </row>
    <row r="57" spans="1:64" s="1012" customFormat="1" ht="18.5" x14ac:dyDescent="0.35">
      <c r="A57" s="758"/>
      <c r="E57" s="1020"/>
      <c r="F57" s="1020"/>
      <c r="G57" s="1020"/>
      <c r="H57" s="1020"/>
      <c r="I57" s="1020"/>
      <c r="J57" s="1020"/>
      <c r="K57" s="1020"/>
      <c r="L57" s="1020"/>
      <c r="M57" s="1020"/>
      <c r="N57" s="1020"/>
      <c r="O57" s="1020"/>
      <c r="Q57" s="1020"/>
      <c r="R57" s="1020"/>
      <c r="U57" s="1020"/>
      <c r="V57" s="1020"/>
      <c r="W57" s="1020"/>
      <c r="X57" s="1020"/>
      <c r="Y57" s="1020"/>
      <c r="AB57" s="1020"/>
      <c r="AC57" s="1020"/>
      <c r="AG57" s="758"/>
      <c r="AH57" s="758"/>
      <c r="BI57" s="758"/>
      <c r="BJ57" s="761"/>
      <c r="BK57" s="761"/>
      <c r="BL57" s="761"/>
    </row>
    <row r="58" spans="1:64" x14ac:dyDescent="0.35">
      <c r="AK58" s="928"/>
      <c r="AL58" s="1060"/>
      <c r="AM58" s="928"/>
      <c r="AN58" s="928"/>
      <c r="AO58" s="928"/>
      <c r="AP58" s="928"/>
      <c r="AQ58" s="928"/>
      <c r="AR58" s="928"/>
      <c r="AS58" s="928"/>
      <c r="AT58" s="928"/>
      <c r="AU58" s="928"/>
      <c r="AV58" s="928"/>
      <c r="AW58" s="928"/>
      <c r="AX58" s="928"/>
      <c r="AY58" s="928"/>
      <c r="AZ58" s="928"/>
      <c r="BA58" s="928"/>
      <c r="BB58" s="928"/>
      <c r="BC58" s="928"/>
      <c r="BD58" s="928"/>
      <c r="BE58" s="928"/>
      <c r="BF58" s="1060"/>
    </row>
    <row r="59" spans="1:64" x14ac:dyDescent="0.35">
      <c r="AK59" s="928"/>
      <c r="AL59" s="1060"/>
      <c r="AM59" s="928"/>
      <c r="AN59" s="928"/>
      <c r="AO59" s="928"/>
      <c r="AP59" s="928"/>
      <c r="AQ59" s="928"/>
      <c r="AR59" s="928"/>
      <c r="AS59" s="928"/>
      <c r="AT59" s="928"/>
      <c r="AU59" s="928"/>
      <c r="AV59" s="928"/>
      <c r="AW59" s="928"/>
      <c r="AX59" s="928"/>
      <c r="AY59" s="928"/>
      <c r="AZ59" s="928"/>
      <c r="BA59" s="928"/>
      <c r="BB59" s="928"/>
      <c r="BC59" s="928"/>
      <c r="BD59" s="928"/>
      <c r="BE59" s="928"/>
      <c r="BF59" s="1060"/>
    </row>
    <row r="60" spans="1:64" x14ac:dyDescent="0.35">
      <c r="AK60" s="928"/>
      <c r="AL60" s="1060"/>
      <c r="AM60" s="928"/>
      <c r="AN60" s="928"/>
      <c r="AO60" s="928"/>
      <c r="AP60" s="928"/>
      <c r="AQ60" s="928"/>
      <c r="AR60" s="928"/>
      <c r="AS60" s="928"/>
      <c r="AT60" s="928"/>
      <c r="AU60" s="928"/>
      <c r="AV60" s="928"/>
      <c r="AW60" s="928"/>
      <c r="AX60" s="928"/>
      <c r="AY60" s="928"/>
      <c r="AZ60" s="928"/>
      <c r="BA60" s="928"/>
      <c r="BB60" s="928"/>
      <c r="BC60" s="928"/>
      <c r="BD60" s="928"/>
      <c r="BE60" s="928"/>
      <c r="BF60" s="1060"/>
    </row>
    <row r="61" spans="1:64" x14ac:dyDescent="0.35">
      <c r="AK61" s="928"/>
      <c r="AL61" s="1060"/>
      <c r="AM61" s="928"/>
      <c r="AN61" s="928"/>
      <c r="AO61" s="928"/>
      <c r="AP61" s="928"/>
      <c r="AQ61" s="928"/>
      <c r="AR61" s="928"/>
      <c r="AS61" s="928"/>
      <c r="AT61" s="928"/>
      <c r="AU61" s="928"/>
      <c r="AV61" s="928"/>
      <c r="AW61" s="928"/>
      <c r="AX61" s="928"/>
      <c r="AY61" s="928"/>
      <c r="AZ61" s="928"/>
      <c r="BA61" s="928"/>
      <c r="BB61" s="928"/>
      <c r="BC61" s="928"/>
      <c r="BD61" s="928"/>
      <c r="BE61" s="928"/>
      <c r="BF61" s="1060"/>
    </row>
    <row r="62" spans="1:64" x14ac:dyDescent="0.35">
      <c r="AK62" s="928"/>
      <c r="AL62" s="1060"/>
      <c r="AM62" s="928"/>
      <c r="AN62" s="928"/>
      <c r="AO62" s="928"/>
      <c r="AP62" s="928"/>
      <c r="AQ62" s="928"/>
      <c r="AR62" s="928"/>
      <c r="AS62" s="928"/>
      <c r="AT62" s="928"/>
      <c r="AU62" s="928"/>
      <c r="AV62" s="928"/>
      <c r="AW62" s="928"/>
      <c r="AX62" s="928"/>
      <c r="AY62" s="928"/>
      <c r="AZ62" s="928"/>
      <c r="BA62" s="928"/>
      <c r="BB62" s="928"/>
      <c r="BC62" s="928"/>
      <c r="BD62" s="928"/>
      <c r="BE62" s="928"/>
      <c r="BF62" s="1060"/>
    </row>
    <row r="63" spans="1:64" x14ac:dyDescent="0.35">
      <c r="AK63" s="928"/>
      <c r="AL63" s="1060"/>
      <c r="AM63" s="928"/>
      <c r="AN63" s="928"/>
      <c r="AO63" s="928"/>
      <c r="AP63" s="928"/>
      <c r="AQ63" s="928"/>
      <c r="AR63" s="928"/>
      <c r="AS63" s="928"/>
      <c r="AT63" s="928"/>
      <c r="AU63" s="928"/>
      <c r="AV63" s="928"/>
      <c r="AW63" s="928"/>
      <c r="AX63" s="928"/>
      <c r="AY63" s="928"/>
      <c r="AZ63" s="928"/>
      <c r="BA63" s="928"/>
      <c r="BB63" s="928"/>
      <c r="BC63" s="928"/>
      <c r="BD63" s="928"/>
      <c r="BE63" s="928"/>
      <c r="BF63" s="1060"/>
    </row>
    <row r="64" spans="1:64" x14ac:dyDescent="0.35">
      <c r="AK64" s="928"/>
      <c r="AL64" s="1060"/>
      <c r="AM64" s="928"/>
      <c r="AN64" s="928"/>
      <c r="AO64" s="928"/>
      <c r="AP64" s="928"/>
      <c r="AQ64" s="928"/>
      <c r="AR64" s="928"/>
      <c r="AS64" s="928"/>
      <c r="AT64" s="928"/>
      <c r="AU64" s="928"/>
      <c r="AV64" s="928"/>
      <c r="AW64" s="928"/>
      <c r="AX64" s="928"/>
      <c r="AY64" s="928"/>
      <c r="AZ64" s="928"/>
      <c r="BA64" s="928"/>
      <c r="BB64" s="928"/>
      <c r="BC64" s="928"/>
      <c r="BD64" s="928"/>
      <c r="BE64" s="928"/>
      <c r="BF64" s="1060"/>
    </row>
    <row r="65" spans="17:58" x14ac:dyDescent="0.35">
      <c r="AK65" s="928"/>
      <c r="AL65" s="1060"/>
      <c r="AM65" s="928"/>
      <c r="AN65" s="928"/>
      <c r="AO65" s="928"/>
      <c r="AP65" s="928"/>
      <c r="AQ65" s="928"/>
      <c r="AR65" s="928"/>
      <c r="AS65" s="928"/>
      <c r="AT65" s="928"/>
      <c r="AU65" s="928"/>
      <c r="AV65" s="928"/>
      <c r="AW65" s="928"/>
      <c r="AX65" s="928"/>
      <c r="AY65" s="928"/>
      <c r="AZ65" s="928"/>
      <c r="BA65" s="928"/>
      <c r="BB65" s="928"/>
      <c r="BC65" s="928"/>
      <c r="BD65" s="928"/>
      <c r="BE65" s="928"/>
      <c r="BF65" s="1060"/>
    </row>
    <row r="66" spans="17:58" x14ac:dyDescent="0.35">
      <c r="AK66" s="928"/>
      <c r="AL66" s="1060"/>
      <c r="AM66" s="1064"/>
      <c r="AN66" s="1065"/>
      <c r="AO66" s="1064"/>
      <c r="AP66" s="1065"/>
      <c r="AQ66" s="1066"/>
      <c r="AR66" s="928"/>
      <c r="AS66" s="928"/>
      <c r="AT66" s="928"/>
      <c r="AU66" s="928"/>
      <c r="AV66" s="928"/>
      <c r="AW66" s="928"/>
      <c r="AX66" s="928"/>
      <c r="AY66" s="928"/>
      <c r="AZ66" s="928"/>
      <c r="BA66" s="928"/>
      <c r="BB66" s="928"/>
      <c r="BC66" s="928"/>
      <c r="BD66" s="928"/>
      <c r="BE66" s="928"/>
      <c r="BF66" s="1060"/>
    </row>
    <row r="67" spans="17:58" x14ac:dyDescent="0.35">
      <c r="AK67" s="928"/>
      <c r="AL67" s="1060"/>
      <c r="AM67" s="1066"/>
      <c r="AN67" s="1066"/>
      <c r="AO67" s="1064"/>
      <c r="AP67" s="1066"/>
      <c r="AQ67" s="1066"/>
      <c r="AR67" s="1066"/>
      <c r="AS67" s="928"/>
      <c r="AT67" s="928"/>
      <c r="AU67" s="928"/>
      <c r="AV67" s="928"/>
      <c r="AW67" s="928"/>
      <c r="AX67" s="928"/>
      <c r="AY67" s="928"/>
      <c r="AZ67" s="928"/>
      <c r="BA67" s="928"/>
      <c r="BB67" s="928"/>
      <c r="BC67" s="928"/>
      <c r="BD67" s="928"/>
      <c r="BE67" s="928"/>
      <c r="BF67" s="1060"/>
    </row>
    <row r="68" spans="17:58" x14ac:dyDescent="0.35">
      <c r="AK68" s="928"/>
      <c r="AL68" s="1060"/>
      <c r="AM68" s="928"/>
      <c r="AN68" s="928"/>
      <c r="AO68" s="928"/>
      <c r="AP68" s="928"/>
      <c r="AQ68" s="928"/>
      <c r="AR68" s="928"/>
      <c r="AS68" s="928"/>
      <c r="AT68" s="928"/>
      <c r="AU68" s="928"/>
      <c r="AV68" s="928"/>
      <c r="AW68" s="928"/>
      <c r="AX68" s="928"/>
      <c r="AY68" s="928"/>
      <c r="AZ68" s="928"/>
      <c r="BA68" s="928"/>
      <c r="BB68" s="928"/>
      <c r="BC68" s="928"/>
      <c r="BD68" s="928"/>
      <c r="BE68" s="928"/>
      <c r="BF68" s="1060"/>
    </row>
    <row r="69" spans="17:58" x14ac:dyDescent="0.35">
      <c r="AK69" s="928"/>
      <c r="AL69" s="1060"/>
      <c r="AM69" s="928"/>
      <c r="AN69" s="928"/>
      <c r="AO69" s="928"/>
      <c r="AP69" s="928"/>
      <c r="AQ69" s="928"/>
      <c r="AR69" s="928"/>
      <c r="AS69" s="928"/>
      <c r="AT69" s="928"/>
      <c r="AU69" s="928"/>
      <c r="AV69" s="928"/>
      <c r="AW69" s="928"/>
      <c r="AX69" s="928"/>
      <c r="AY69" s="928"/>
      <c r="AZ69" s="928"/>
      <c r="BA69" s="928"/>
      <c r="BB69" s="928"/>
      <c r="BC69" s="928"/>
      <c r="BD69" s="928"/>
      <c r="BE69" s="928"/>
      <c r="BF69" s="1060"/>
    </row>
    <row r="70" spans="17:58" x14ac:dyDescent="0.35">
      <c r="Q70" s="750"/>
      <c r="R70" s="750"/>
      <c r="AK70" s="928"/>
      <c r="AL70" s="1060"/>
      <c r="AM70" s="928"/>
      <c r="AN70" s="928"/>
      <c r="AO70" s="928"/>
      <c r="AP70" s="928"/>
      <c r="AQ70" s="1066"/>
      <c r="AR70" s="928"/>
      <c r="AS70" s="928"/>
      <c r="AT70" s="928"/>
      <c r="AU70" s="928"/>
      <c r="AV70" s="928"/>
      <c r="AW70" s="928"/>
      <c r="AX70" s="928"/>
      <c r="AY70" s="928"/>
      <c r="AZ70" s="928"/>
      <c r="BA70" s="928"/>
      <c r="BB70" s="928"/>
      <c r="BC70" s="928"/>
      <c r="BD70" s="928"/>
      <c r="BE70" s="928"/>
      <c r="BF70" s="1060"/>
    </row>
    <row r="71" spans="17:58" x14ac:dyDescent="0.35">
      <c r="AK71" s="928"/>
      <c r="AL71" s="1060"/>
      <c r="AM71" s="928"/>
      <c r="AN71" s="928"/>
      <c r="AO71" s="928"/>
      <c r="AP71" s="928"/>
      <c r="AQ71" s="928"/>
      <c r="AR71" s="928"/>
      <c r="AS71" s="928"/>
      <c r="AT71" s="928"/>
      <c r="AU71" s="928"/>
      <c r="AV71" s="928"/>
      <c r="AW71" s="928"/>
      <c r="AX71" s="928"/>
      <c r="AY71" s="928"/>
      <c r="AZ71" s="928"/>
      <c r="BA71" s="928"/>
      <c r="BB71" s="928"/>
      <c r="BC71" s="928"/>
      <c r="BD71" s="928"/>
      <c r="BE71" s="928"/>
      <c r="BF71" s="1060"/>
    </row>
    <row r="72" spans="17:58" x14ac:dyDescent="0.35">
      <c r="AK72" s="928"/>
      <c r="AL72" s="1060"/>
      <c r="AM72" s="928"/>
      <c r="AN72" s="928"/>
      <c r="AO72" s="928"/>
      <c r="AP72" s="928"/>
      <c r="AQ72" s="928"/>
      <c r="AR72" s="928"/>
      <c r="AS72" s="928"/>
      <c r="AT72" s="928"/>
      <c r="AU72" s="928"/>
      <c r="AV72" s="928"/>
      <c r="AW72" s="928"/>
      <c r="AX72" s="928"/>
      <c r="AY72" s="928"/>
      <c r="AZ72" s="928"/>
      <c r="BA72" s="928"/>
      <c r="BB72" s="928"/>
      <c r="BC72" s="928"/>
      <c r="BD72" s="928"/>
      <c r="BE72" s="928"/>
      <c r="BF72" s="1060"/>
    </row>
    <row r="73" spans="17:58" x14ac:dyDescent="0.35">
      <c r="AK73" s="928"/>
      <c r="AL73" s="1060"/>
      <c r="AM73" s="928"/>
      <c r="AN73" s="928"/>
      <c r="AO73" s="928"/>
      <c r="AP73" s="928"/>
      <c r="AQ73" s="928"/>
      <c r="AR73" s="928"/>
      <c r="AS73" s="928"/>
      <c r="AT73" s="928"/>
      <c r="AU73" s="928"/>
      <c r="AV73" s="928"/>
      <c r="AW73" s="928"/>
      <c r="AX73" s="928"/>
      <c r="AY73" s="928"/>
      <c r="AZ73" s="928"/>
      <c r="BA73" s="928"/>
      <c r="BB73" s="928"/>
      <c r="BC73" s="928"/>
      <c r="BD73" s="928"/>
      <c r="BE73" s="928"/>
      <c r="BF73" s="1060"/>
    </row>
    <row r="74" spans="17:58" x14ac:dyDescent="0.35">
      <c r="AK74" s="928"/>
      <c r="AL74" s="1060"/>
      <c r="AM74" s="928"/>
      <c r="AN74" s="928"/>
      <c r="AO74" s="928"/>
      <c r="AP74" s="928"/>
      <c r="AQ74" s="928"/>
      <c r="AR74" s="928"/>
      <c r="AS74" s="928"/>
      <c r="AT74" s="928"/>
      <c r="AU74" s="928"/>
      <c r="AV74" s="928"/>
      <c r="AW74" s="928"/>
      <c r="AX74" s="928"/>
      <c r="AY74" s="928"/>
      <c r="AZ74" s="928"/>
      <c r="BA74" s="928"/>
      <c r="BB74" s="928"/>
      <c r="BC74" s="928"/>
      <c r="BD74" s="928"/>
      <c r="BE74" s="928"/>
      <c r="BF74" s="1060"/>
    </row>
    <row r="75" spans="17:58" x14ac:dyDescent="0.35">
      <c r="AK75" s="928"/>
      <c r="AL75" s="1060"/>
      <c r="AM75" s="928"/>
      <c r="AN75" s="928"/>
      <c r="AO75" s="928"/>
      <c r="AP75" s="928"/>
      <c r="AQ75" s="928"/>
      <c r="AR75" s="928"/>
      <c r="AS75" s="928"/>
      <c r="AT75" s="928"/>
      <c r="AU75" s="928"/>
      <c r="AV75" s="928"/>
      <c r="AW75" s="928"/>
      <c r="AX75" s="928"/>
      <c r="AY75" s="928"/>
      <c r="AZ75" s="928"/>
      <c r="BA75" s="928"/>
      <c r="BB75" s="928"/>
      <c r="BC75" s="928"/>
      <c r="BD75" s="928"/>
      <c r="BE75" s="928"/>
      <c r="BF75" s="1060"/>
    </row>
    <row r="76" spans="17:58" x14ac:dyDescent="0.35">
      <c r="AK76" s="928"/>
      <c r="AL76" s="1060"/>
      <c r="AM76" s="928"/>
      <c r="AN76" s="928"/>
      <c r="AO76" s="928"/>
      <c r="AP76" s="928"/>
      <c r="AQ76" s="928"/>
      <c r="AR76" s="928"/>
      <c r="AS76" s="928"/>
      <c r="AT76" s="928"/>
      <c r="AU76" s="928"/>
      <c r="AV76" s="928"/>
      <c r="AW76" s="928"/>
      <c r="AX76" s="928"/>
      <c r="AY76" s="928"/>
      <c r="AZ76" s="928"/>
      <c r="BA76" s="928"/>
      <c r="BB76" s="928"/>
      <c r="BC76" s="928"/>
      <c r="BD76" s="928"/>
      <c r="BE76" s="928"/>
      <c r="BF76" s="1060"/>
    </row>
    <row r="77" spans="17:58" x14ac:dyDescent="0.35">
      <c r="AK77" s="928"/>
      <c r="AL77" s="1060"/>
      <c r="AM77" s="928"/>
      <c r="AN77" s="928"/>
      <c r="AO77" s="928"/>
      <c r="AP77" s="928"/>
      <c r="AQ77" s="928"/>
      <c r="AR77" s="928"/>
      <c r="AS77" s="928"/>
      <c r="AT77" s="928"/>
      <c r="AU77" s="928"/>
      <c r="AV77" s="928"/>
      <c r="AW77" s="928"/>
      <c r="AX77" s="928"/>
      <c r="AY77" s="928"/>
      <c r="AZ77" s="928"/>
      <c r="BA77" s="928"/>
      <c r="BB77" s="928"/>
      <c r="BC77" s="928"/>
      <c r="BD77" s="1068"/>
      <c r="BE77" s="1069"/>
      <c r="BF77" s="1060"/>
    </row>
    <row r="78" spans="17:58" x14ac:dyDescent="0.35">
      <c r="AK78" s="928"/>
      <c r="AL78" s="1060"/>
      <c r="AM78" s="928"/>
      <c r="AN78" s="928"/>
      <c r="AO78" s="928"/>
      <c r="AP78" s="928"/>
      <c r="AQ78" s="928"/>
      <c r="AR78" s="928"/>
      <c r="AS78" s="928"/>
      <c r="AT78" s="928"/>
      <c r="AU78" s="928"/>
      <c r="AV78" s="928"/>
      <c r="AW78" s="928"/>
      <c r="AX78" s="928"/>
      <c r="AY78" s="928"/>
      <c r="AZ78" s="928"/>
      <c r="BA78" s="928"/>
      <c r="BB78" s="928"/>
      <c r="BC78" s="928"/>
      <c r="BD78" s="1068"/>
      <c r="BE78" s="1068"/>
      <c r="BF78" s="1060"/>
    </row>
    <row r="79" spans="17:58" x14ac:dyDescent="0.35">
      <c r="AK79" s="928"/>
      <c r="AL79" s="1060"/>
      <c r="AM79" s="928"/>
      <c r="AN79" s="928"/>
      <c r="AO79" s="928"/>
      <c r="AP79" s="928"/>
      <c r="AQ79" s="928"/>
      <c r="AR79" s="928"/>
      <c r="AS79" s="928"/>
      <c r="AT79" s="928"/>
      <c r="AU79" s="928"/>
      <c r="AV79" s="928"/>
      <c r="AW79" s="928"/>
      <c r="AX79" s="928"/>
      <c r="AY79" s="928"/>
      <c r="AZ79" s="928"/>
      <c r="BA79" s="928"/>
      <c r="BB79" s="928"/>
      <c r="BC79" s="928"/>
      <c r="BD79" s="1068"/>
      <c r="BE79" s="1068"/>
      <c r="BF79" s="1060"/>
    </row>
    <row r="80" spans="17:58" x14ac:dyDescent="0.35">
      <c r="AK80" s="928"/>
      <c r="AL80" s="1060"/>
      <c r="AM80" s="928"/>
      <c r="AN80" s="928"/>
      <c r="AO80" s="928"/>
      <c r="AP80" s="928"/>
      <c r="AQ80" s="928"/>
      <c r="AR80" s="928"/>
      <c r="AS80" s="928"/>
      <c r="AT80" s="928"/>
      <c r="AU80" s="928"/>
      <c r="AV80" s="928"/>
      <c r="AW80" s="928"/>
      <c r="AX80" s="928"/>
      <c r="AY80" s="928"/>
      <c r="AZ80" s="928"/>
      <c r="BA80" s="928"/>
      <c r="BB80" s="928"/>
      <c r="BC80" s="928"/>
      <c r="BD80" s="1068"/>
      <c r="BE80" s="1070"/>
      <c r="BF80" s="1060"/>
    </row>
    <row r="81" spans="37:58" x14ac:dyDescent="0.35">
      <c r="AK81" s="928"/>
      <c r="AL81" s="1060"/>
      <c r="AM81" s="928"/>
      <c r="AN81" s="928"/>
      <c r="AO81" s="928"/>
      <c r="AP81" s="928"/>
      <c r="AQ81" s="928"/>
      <c r="AR81" s="928"/>
      <c r="AS81" s="928"/>
      <c r="AT81" s="928"/>
      <c r="AU81" s="928"/>
      <c r="AV81" s="928"/>
      <c r="AW81" s="928"/>
      <c r="AX81" s="928"/>
      <c r="AY81" s="928"/>
      <c r="AZ81" s="928"/>
      <c r="BA81" s="928"/>
      <c r="BB81" s="928"/>
      <c r="BC81" s="928"/>
      <c r="BD81" s="1068"/>
      <c r="BE81" s="1070"/>
      <c r="BF81" s="1060"/>
    </row>
    <row r="82" spans="37:58" x14ac:dyDescent="0.35">
      <c r="AK82" s="928"/>
      <c r="AL82" s="1060"/>
      <c r="AM82" s="928"/>
      <c r="AN82" s="928"/>
      <c r="AO82" s="928"/>
      <c r="AP82" s="928"/>
      <c r="AQ82" s="928"/>
      <c r="AR82" s="928"/>
      <c r="AS82" s="928"/>
      <c r="AT82" s="928"/>
      <c r="AU82" s="928"/>
      <c r="AV82" s="928"/>
      <c r="AW82" s="928"/>
      <c r="AX82" s="928"/>
      <c r="AY82" s="928"/>
      <c r="AZ82" s="928"/>
      <c r="BA82" s="928"/>
      <c r="BB82" s="928"/>
      <c r="BC82" s="928"/>
      <c r="BD82" s="1068"/>
      <c r="BE82" s="1070"/>
      <c r="BF82" s="1060"/>
    </row>
    <row r="83" spans="37:58" x14ac:dyDescent="0.35">
      <c r="AK83" s="928"/>
      <c r="AL83" s="1060"/>
      <c r="AM83" s="928"/>
      <c r="AN83" s="928"/>
      <c r="AO83" s="928"/>
      <c r="AP83" s="928"/>
      <c r="AQ83" s="928"/>
      <c r="AR83" s="928"/>
      <c r="AS83" s="928"/>
      <c r="AT83" s="928"/>
      <c r="AU83" s="928"/>
      <c r="AV83" s="928"/>
      <c r="AW83" s="928"/>
      <c r="AX83" s="928"/>
      <c r="AY83" s="928"/>
      <c r="AZ83" s="928"/>
      <c r="BA83" s="928"/>
      <c r="BB83" s="928"/>
      <c r="BC83" s="928"/>
      <c r="BD83" s="1068"/>
      <c r="BE83" s="1068"/>
      <c r="BF83" s="1060"/>
    </row>
    <row r="84" spans="37:58" x14ac:dyDescent="0.35">
      <c r="AK84" s="928"/>
      <c r="AL84" s="1060"/>
      <c r="AM84" s="928"/>
      <c r="AN84" s="928"/>
      <c r="AO84" s="928"/>
      <c r="AP84" s="928"/>
      <c r="AQ84" s="928"/>
      <c r="AR84" s="928"/>
      <c r="AS84" s="928"/>
      <c r="AT84" s="928"/>
      <c r="AU84" s="928"/>
      <c r="AV84" s="928"/>
      <c r="AW84" s="928"/>
      <c r="AX84" s="928"/>
      <c r="AY84" s="928"/>
      <c r="AZ84" s="928"/>
      <c r="BA84" s="928"/>
      <c r="BB84" s="928"/>
      <c r="BC84" s="928"/>
      <c r="BD84" s="1068"/>
      <c r="BE84" s="1070"/>
      <c r="BF84" s="1060"/>
    </row>
    <row r="85" spans="37:58" x14ac:dyDescent="0.35">
      <c r="AK85" s="928"/>
      <c r="AL85" s="1060"/>
      <c r="AM85" s="928"/>
      <c r="AN85" s="928"/>
      <c r="AO85" s="928"/>
      <c r="AP85" s="928"/>
      <c r="AQ85" s="928"/>
      <c r="AR85" s="928"/>
      <c r="AS85" s="928"/>
      <c r="AT85" s="928"/>
      <c r="AU85" s="928"/>
      <c r="AV85" s="928"/>
      <c r="AW85" s="928"/>
      <c r="AX85" s="928"/>
      <c r="AY85" s="928"/>
      <c r="AZ85" s="928"/>
      <c r="BA85" s="928"/>
      <c r="BB85" s="928"/>
      <c r="BC85" s="928"/>
      <c r="BD85" s="1068"/>
      <c r="BE85" s="1068"/>
      <c r="BF85" s="1060"/>
    </row>
    <row r="86" spans="37:58" x14ac:dyDescent="0.35">
      <c r="AK86" s="928"/>
      <c r="AL86" s="1060"/>
      <c r="AM86" s="928"/>
      <c r="AN86" s="928"/>
      <c r="AO86" s="928"/>
      <c r="AP86" s="928"/>
      <c r="AQ86" s="928"/>
      <c r="AR86" s="928"/>
      <c r="AS86" s="928"/>
      <c r="AT86" s="928"/>
      <c r="AU86" s="928"/>
      <c r="AV86" s="928"/>
      <c r="AW86" s="928"/>
      <c r="AX86" s="928"/>
      <c r="AY86" s="928"/>
      <c r="AZ86" s="928"/>
      <c r="BA86" s="928"/>
      <c r="BB86" s="928"/>
      <c r="BC86" s="928"/>
      <c r="BD86" s="1068"/>
      <c r="BE86" s="1068"/>
      <c r="BF86" s="1060"/>
    </row>
    <row r="87" spans="37:58" x14ac:dyDescent="0.35">
      <c r="AK87" s="928"/>
      <c r="AL87" s="1060"/>
      <c r="AM87" s="928"/>
      <c r="AN87" s="928"/>
      <c r="AO87" s="928"/>
      <c r="AP87" s="928"/>
      <c r="AQ87" s="928"/>
      <c r="AR87" s="928"/>
      <c r="AS87" s="928"/>
      <c r="AT87" s="928"/>
      <c r="AU87" s="928"/>
      <c r="AV87" s="928"/>
      <c r="AW87" s="928"/>
      <c r="AX87" s="928"/>
      <c r="AY87" s="928"/>
      <c r="AZ87" s="928"/>
      <c r="BA87" s="928"/>
      <c r="BB87" s="928"/>
      <c r="BC87" s="928"/>
      <c r="BD87" s="928"/>
      <c r="BE87" s="928"/>
      <c r="BF87" s="1060"/>
    </row>
    <row r="88" spans="37:58" x14ac:dyDescent="0.35">
      <c r="AK88" s="928"/>
      <c r="AL88" s="1060"/>
      <c r="AM88" s="928"/>
      <c r="AN88" s="928"/>
      <c r="AO88" s="928"/>
      <c r="AP88" s="928"/>
      <c r="AQ88" s="928"/>
      <c r="AR88" s="928"/>
      <c r="AS88" s="928"/>
      <c r="AT88" s="928"/>
      <c r="AU88" s="928"/>
      <c r="AV88" s="928"/>
      <c r="AW88" s="928"/>
      <c r="AX88" s="928"/>
      <c r="AY88" s="928"/>
      <c r="AZ88" s="928"/>
      <c r="BA88" s="928"/>
      <c r="BB88" s="928"/>
      <c r="BC88" s="928"/>
      <c r="BD88" s="928"/>
      <c r="BE88" s="928"/>
      <c r="BF88" s="1060"/>
    </row>
    <row r="89" spans="37:58" x14ac:dyDescent="0.35">
      <c r="AK89" s="928"/>
      <c r="AL89" s="1060"/>
      <c r="AM89" s="928"/>
      <c r="AN89" s="928"/>
      <c r="AO89" s="928"/>
      <c r="AP89" s="928"/>
      <c r="AQ89" s="928"/>
      <c r="AR89" s="928"/>
      <c r="AS89" s="928"/>
      <c r="AT89" s="928"/>
      <c r="AU89" s="928"/>
      <c r="AV89" s="928"/>
      <c r="AW89" s="928"/>
      <c r="AX89" s="928"/>
      <c r="AY89" s="928"/>
      <c r="AZ89" s="928"/>
      <c r="BA89" s="928"/>
      <c r="BB89" s="928"/>
      <c r="BC89" s="928"/>
      <c r="BD89" s="928"/>
      <c r="BE89" s="928"/>
      <c r="BF89" s="1060"/>
    </row>
    <row r="90" spans="37:58" x14ac:dyDescent="0.35">
      <c r="AK90" s="928"/>
      <c r="AL90" s="1060"/>
      <c r="AM90" s="928"/>
      <c r="AN90" s="928"/>
      <c r="AO90" s="928"/>
      <c r="AP90" s="928"/>
      <c r="AQ90" s="928"/>
      <c r="AR90" s="928"/>
      <c r="AS90" s="928"/>
      <c r="AT90" s="928"/>
      <c r="AU90" s="928"/>
      <c r="AV90" s="928"/>
      <c r="AW90" s="928"/>
      <c r="AX90" s="928"/>
      <c r="AY90" s="928"/>
      <c r="AZ90" s="928"/>
      <c r="BA90" s="928"/>
      <c r="BB90" s="928"/>
      <c r="BC90" s="928"/>
      <c r="BD90" s="928"/>
      <c r="BE90" s="928"/>
      <c r="BF90" s="1060"/>
    </row>
    <row r="91" spans="37:58" x14ac:dyDescent="0.35">
      <c r="AK91" s="928"/>
      <c r="AL91" s="1060"/>
      <c r="AM91" s="928"/>
      <c r="AN91" s="928"/>
      <c r="AO91" s="928"/>
      <c r="AP91" s="928"/>
      <c r="AQ91" s="928"/>
      <c r="AR91" s="928"/>
      <c r="AS91" s="928"/>
      <c r="AT91" s="928"/>
      <c r="AU91" s="928"/>
      <c r="AV91" s="928"/>
      <c r="AW91" s="928"/>
      <c r="AX91" s="928"/>
      <c r="AY91" s="928"/>
      <c r="AZ91" s="928"/>
      <c r="BA91" s="928"/>
      <c r="BB91" s="928"/>
      <c r="BC91" s="928"/>
      <c r="BD91" s="928"/>
      <c r="BE91" s="928"/>
      <c r="BF91" s="1060"/>
    </row>
    <row r="92" spans="37:58" x14ac:dyDescent="0.35">
      <c r="AK92" s="928"/>
      <c r="AL92" s="1060"/>
      <c r="AM92" s="928"/>
      <c r="AN92" s="928"/>
      <c r="AO92" s="928"/>
      <c r="AP92" s="928"/>
      <c r="AQ92" s="928"/>
      <c r="AR92" s="928"/>
      <c r="AS92" s="928"/>
      <c r="AT92" s="928"/>
      <c r="AU92" s="928"/>
      <c r="AV92" s="928"/>
      <c r="AW92" s="928"/>
      <c r="AX92" s="928"/>
      <c r="AY92" s="928"/>
      <c r="AZ92" s="928"/>
      <c r="BA92" s="928"/>
      <c r="BB92" s="928"/>
      <c r="BC92" s="928"/>
      <c r="BD92" s="928"/>
      <c r="BE92" s="928"/>
      <c r="BF92" s="1060"/>
    </row>
    <row r="93" spans="37:58" x14ac:dyDescent="0.35">
      <c r="AK93" s="928"/>
      <c r="AL93" s="1060"/>
      <c r="AM93" s="928"/>
      <c r="AN93" s="928"/>
      <c r="AO93" s="928"/>
      <c r="AP93" s="928"/>
      <c r="AQ93" s="928"/>
      <c r="AR93" s="928"/>
      <c r="AS93" s="928"/>
      <c r="AT93" s="928"/>
      <c r="AU93" s="928"/>
      <c r="AV93" s="928"/>
      <c r="AW93" s="928"/>
      <c r="AX93" s="928"/>
      <c r="AY93" s="928"/>
      <c r="AZ93" s="928"/>
      <c r="BA93" s="928"/>
      <c r="BB93" s="928"/>
      <c r="BC93" s="928"/>
      <c r="BD93" s="928"/>
      <c r="BE93" s="928"/>
      <c r="BF93" s="1060"/>
    </row>
    <row r="94" spans="37:58" x14ac:dyDescent="0.35">
      <c r="AK94" s="928"/>
      <c r="AL94" s="1060"/>
      <c r="AM94" s="928"/>
      <c r="AN94" s="928"/>
      <c r="AO94" s="928"/>
      <c r="AP94" s="928"/>
      <c r="AQ94" s="928"/>
      <c r="AR94" s="928"/>
      <c r="AS94" s="928"/>
      <c r="AT94" s="928"/>
      <c r="AU94" s="928"/>
      <c r="AV94" s="928"/>
      <c r="AW94" s="928"/>
      <c r="AX94" s="928"/>
      <c r="AY94" s="928"/>
      <c r="AZ94" s="928"/>
      <c r="BA94" s="928"/>
      <c r="BB94" s="928"/>
      <c r="BC94" s="928"/>
      <c r="BD94" s="928"/>
      <c r="BE94" s="928"/>
      <c r="BF94" s="1060"/>
    </row>
    <row r="95" spans="37:58" x14ac:dyDescent="0.35">
      <c r="AK95" s="928"/>
      <c r="AL95" s="1060"/>
      <c r="AM95" s="928"/>
      <c r="AN95" s="928"/>
      <c r="AO95" s="928"/>
      <c r="AP95" s="928"/>
      <c r="AQ95" s="928"/>
      <c r="AR95" s="928"/>
      <c r="AS95" s="928"/>
      <c r="AT95" s="928"/>
      <c r="AU95" s="928"/>
      <c r="AV95" s="928"/>
      <c r="AW95" s="928"/>
      <c r="AX95" s="928"/>
      <c r="AY95" s="928"/>
      <c r="AZ95" s="928"/>
      <c r="BA95" s="928"/>
      <c r="BB95" s="928"/>
      <c r="BC95" s="928"/>
      <c r="BD95" s="928"/>
      <c r="BE95" s="928"/>
      <c r="BF95" s="1060"/>
    </row>
    <row r="96" spans="37:58" x14ac:dyDescent="0.35">
      <c r="AK96" s="928"/>
      <c r="AL96" s="1060"/>
      <c r="AM96" s="928"/>
      <c r="AN96" s="928"/>
      <c r="AO96" s="928"/>
      <c r="AP96" s="928"/>
      <c r="AQ96" s="928"/>
      <c r="AR96" s="928"/>
      <c r="AS96" s="928"/>
      <c r="AT96" s="928"/>
      <c r="AU96" s="928"/>
      <c r="AV96" s="928"/>
      <c r="AW96" s="928"/>
      <c r="AX96" s="928"/>
      <c r="AY96" s="928"/>
      <c r="AZ96" s="928"/>
      <c r="BA96" s="928"/>
      <c r="BB96" s="928"/>
      <c r="BC96" s="928"/>
      <c r="BD96" s="928"/>
      <c r="BE96" s="928"/>
      <c r="BF96" s="1060"/>
    </row>
    <row r="97" spans="37:58" x14ac:dyDescent="0.35">
      <c r="AK97" s="928"/>
      <c r="AL97" s="1060"/>
      <c r="AM97" s="928"/>
      <c r="AN97" s="928"/>
      <c r="AO97" s="928"/>
      <c r="AP97" s="928"/>
      <c r="AQ97" s="928"/>
      <c r="AR97" s="928"/>
      <c r="AS97" s="928"/>
      <c r="AT97" s="928"/>
      <c r="AU97" s="928"/>
      <c r="AV97" s="928"/>
      <c r="AW97" s="928"/>
      <c r="AX97" s="928"/>
      <c r="AY97" s="928"/>
      <c r="AZ97" s="928"/>
      <c r="BA97" s="928"/>
      <c r="BB97" s="928"/>
      <c r="BC97" s="928"/>
      <c r="BD97" s="928"/>
      <c r="BE97" s="928"/>
      <c r="BF97" s="1060"/>
    </row>
    <row r="98" spans="37:58" x14ac:dyDescent="0.35">
      <c r="AK98" s="928"/>
      <c r="AL98" s="1060"/>
      <c r="AM98" s="928"/>
      <c r="AN98" s="928"/>
      <c r="AO98" s="928"/>
      <c r="AP98" s="928"/>
      <c r="AQ98" s="928"/>
      <c r="AR98" s="928"/>
      <c r="AS98" s="928"/>
      <c r="AT98" s="928"/>
      <c r="AU98" s="928"/>
      <c r="AV98" s="928"/>
      <c r="AW98" s="928"/>
      <c r="AX98" s="928"/>
      <c r="AY98" s="928"/>
      <c r="AZ98" s="928"/>
      <c r="BA98" s="928"/>
      <c r="BB98" s="928"/>
      <c r="BC98" s="928"/>
      <c r="BD98" s="928"/>
      <c r="BE98" s="928"/>
      <c r="BF98" s="1060"/>
    </row>
    <row r="99" spans="37:58" x14ac:dyDescent="0.35">
      <c r="AK99" s="928"/>
      <c r="AL99" s="1060"/>
      <c r="AM99" s="928"/>
      <c r="AN99" s="928"/>
      <c r="AO99" s="928"/>
      <c r="AP99" s="928"/>
      <c r="AQ99" s="928"/>
      <c r="AR99" s="928"/>
      <c r="AS99" s="928"/>
      <c r="AT99" s="928"/>
      <c r="AU99" s="928"/>
      <c r="AV99" s="928"/>
      <c r="AW99" s="928"/>
      <c r="AX99" s="928"/>
      <c r="AY99" s="928"/>
      <c r="AZ99" s="928"/>
      <c r="BA99" s="928"/>
      <c r="BB99" s="928"/>
      <c r="BC99" s="928"/>
      <c r="BD99" s="928"/>
      <c r="BE99" s="928"/>
      <c r="BF99" s="1060"/>
    </row>
    <row r="100" spans="37:58" x14ac:dyDescent="0.35">
      <c r="AK100" s="928"/>
      <c r="AL100" s="1060"/>
      <c r="AM100" s="928"/>
      <c r="AN100" s="928"/>
      <c r="AO100" s="928"/>
      <c r="AP100" s="928"/>
      <c r="AQ100" s="928"/>
      <c r="AR100" s="928"/>
      <c r="AS100" s="928"/>
      <c r="AT100" s="928"/>
      <c r="AU100" s="928"/>
      <c r="AV100" s="928"/>
      <c r="AW100" s="928"/>
      <c r="AX100" s="928"/>
      <c r="AY100" s="928"/>
      <c r="AZ100" s="928"/>
      <c r="BA100" s="928"/>
      <c r="BB100" s="928"/>
      <c r="BC100" s="928"/>
      <c r="BD100" s="928"/>
      <c r="BE100" s="928"/>
      <c r="BF100" s="1060"/>
    </row>
    <row r="101" spans="37:58" x14ac:dyDescent="0.35">
      <c r="AK101" s="928"/>
      <c r="AL101" s="1060"/>
      <c r="AM101" s="928"/>
      <c r="AN101" s="928"/>
      <c r="AO101" s="928"/>
      <c r="AP101" s="928"/>
      <c r="AQ101" s="928"/>
      <c r="AR101" s="928"/>
      <c r="AS101" s="928"/>
      <c r="AT101" s="928"/>
      <c r="AU101" s="928"/>
      <c r="AV101" s="928"/>
      <c r="AW101" s="928"/>
      <c r="AX101" s="928"/>
      <c r="AY101" s="928"/>
      <c r="AZ101" s="928"/>
      <c r="BA101" s="928"/>
      <c r="BB101" s="928"/>
      <c r="BC101" s="928"/>
      <c r="BD101" s="928"/>
      <c r="BE101" s="928"/>
      <c r="BF101" s="1060"/>
    </row>
    <row r="102" spans="37:58" x14ac:dyDescent="0.35">
      <c r="AK102" s="928"/>
      <c r="AL102" s="1060"/>
      <c r="AM102" s="928"/>
      <c r="AN102" s="928"/>
      <c r="AO102" s="928"/>
      <c r="AP102" s="928"/>
      <c r="AQ102" s="928"/>
      <c r="AR102" s="928"/>
      <c r="AS102" s="928"/>
      <c r="AT102" s="928"/>
      <c r="AU102" s="928"/>
      <c r="AV102" s="928"/>
      <c r="AW102" s="928"/>
      <c r="AX102" s="928"/>
      <c r="AY102" s="928"/>
      <c r="AZ102" s="928"/>
      <c r="BA102" s="928"/>
      <c r="BB102" s="928"/>
      <c r="BC102" s="928"/>
      <c r="BD102" s="928"/>
      <c r="BE102" s="928"/>
      <c r="BF102" s="1060"/>
    </row>
    <row r="103" spans="37:58" x14ac:dyDescent="0.35">
      <c r="AK103" s="928"/>
      <c r="AL103" s="1060"/>
      <c r="AM103" s="928"/>
      <c r="AN103" s="928"/>
      <c r="AO103" s="928"/>
      <c r="AP103" s="928"/>
      <c r="AQ103" s="928"/>
      <c r="AR103" s="928"/>
      <c r="AS103" s="928"/>
      <c r="AT103" s="928"/>
      <c r="AU103" s="928"/>
      <c r="AV103" s="928"/>
      <c r="AW103" s="928"/>
      <c r="AX103" s="928"/>
      <c r="AY103" s="928"/>
      <c r="AZ103" s="928"/>
      <c r="BA103" s="928"/>
      <c r="BB103" s="928"/>
      <c r="BC103" s="928"/>
      <c r="BD103" s="928"/>
      <c r="BE103" s="928"/>
      <c r="BF103" s="1060"/>
    </row>
    <row r="104" spans="37:58" x14ac:dyDescent="0.35">
      <c r="AK104" s="928"/>
      <c r="AL104" s="1060"/>
      <c r="AM104" s="928"/>
      <c r="AN104" s="928"/>
      <c r="AO104" s="928"/>
      <c r="AP104" s="928"/>
      <c r="AQ104" s="928"/>
      <c r="AR104" s="928"/>
      <c r="AS104" s="928"/>
      <c r="AT104" s="928"/>
      <c r="AU104" s="928"/>
      <c r="AV104" s="928"/>
      <c r="AW104" s="928"/>
      <c r="AX104" s="928"/>
      <c r="AY104" s="928"/>
      <c r="AZ104" s="928"/>
      <c r="BA104" s="928"/>
      <c r="BB104" s="928"/>
      <c r="BC104" s="928"/>
      <c r="BD104" s="928"/>
      <c r="BE104" s="928"/>
      <c r="BF104" s="1060"/>
    </row>
    <row r="105" spans="37:58" x14ac:dyDescent="0.35">
      <c r="AK105" s="928"/>
      <c r="AL105" s="1060"/>
      <c r="AM105" s="928"/>
      <c r="AN105" s="928"/>
      <c r="AO105" s="928"/>
      <c r="AP105" s="928"/>
      <c r="AQ105" s="928"/>
      <c r="AR105" s="928"/>
      <c r="AS105" s="928"/>
      <c r="AT105" s="928"/>
      <c r="AU105" s="928"/>
      <c r="AV105" s="928"/>
      <c r="AW105" s="928"/>
      <c r="AX105" s="928"/>
      <c r="AY105" s="928"/>
      <c r="AZ105" s="928"/>
      <c r="BA105" s="928"/>
      <c r="BB105" s="928"/>
      <c r="BC105" s="928"/>
      <c r="BD105" s="928"/>
      <c r="BE105" s="928"/>
      <c r="BF105" s="1060"/>
    </row>
    <row r="106" spans="37:58" x14ac:dyDescent="0.35">
      <c r="AK106" s="928"/>
      <c r="AL106" s="1060"/>
      <c r="AM106" s="928"/>
      <c r="AN106" s="928"/>
      <c r="AO106" s="928"/>
      <c r="AP106" s="928"/>
      <c r="AQ106" s="928"/>
      <c r="AR106" s="928"/>
      <c r="AS106" s="928"/>
      <c r="AT106" s="928"/>
      <c r="AU106" s="928"/>
      <c r="AV106" s="928"/>
      <c r="AW106" s="928"/>
      <c r="AX106" s="928"/>
      <c r="AY106" s="928"/>
      <c r="AZ106" s="928"/>
      <c r="BA106" s="928"/>
      <c r="BB106" s="928"/>
      <c r="BC106" s="928"/>
      <c r="BD106" s="928"/>
      <c r="BE106" s="928"/>
      <c r="BF106" s="1060"/>
    </row>
    <row r="107" spans="37:58" x14ac:dyDescent="0.35">
      <c r="AK107" s="928"/>
      <c r="AL107" s="1060"/>
      <c r="AM107" s="928"/>
      <c r="AN107" s="928"/>
      <c r="AO107" s="928"/>
      <c r="AP107" s="928"/>
      <c r="AQ107" s="928"/>
      <c r="AR107" s="928"/>
      <c r="AS107" s="928"/>
      <c r="AT107" s="928"/>
      <c r="AU107" s="928"/>
      <c r="AV107" s="928"/>
      <c r="AW107" s="928"/>
      <c r="AX107" s="928"/>
      <c r="AY107" s="928"/>
      <c r="AZ107" s="928"/>
      <c r="BA107" s="928"/>
      <c r="BB107" s="928"/>
      <c r="BC107" s="928"/>
      <c r="BD107" s="928"/>
      <c r="BE107" s="928"/>
      <c r="BF107" s="1060"/>
    </row>
    <row r="108" spans="37:58" x14ac:dyDescent="0.35">
      <c r="AK108" s="928"/>
      <c r="AL108" s="1060"/>
      <c r="AM108" s="928"/>
      <c r="AN108" s="928"/>
      <c r="AO108" s="928"/>
      <c r="AP108" s="928"/>
      <c r="AQ108" s="928"/>
      <c r="AR108" s="928"/>
      <c r="AS108" s="928"/>
      <c r="AT108" s="928"/>
      <c r="AU108" s="928"/>
      <c r="AV108" s="928"/>
      <c r="AW108" s="928"/>
      <c r="AX108" s="928"/>
      <c r="AY108" s="928"/>
      <c r="AZ108" s="928"/>
      <c r="BA108" s="928"/>
      <c r="BB108" s="928"/>
      <c r="BC108" s="928"/>
      <c r="BD108" s="928"/>
      <c r="BE108" s="928"/>
      <c r="BF108" s="1060"/>
    </row>
    <row r="109" spans="37:58" x14ac:dyDescent="0.35">
      <c r="AK109" s="928"/>
      <c r="AL109" s="1060"/>
      <c r="AM109" s="928"/>
      <c r="AN109" s="928"/>
      <c r="AO109" s="928"/>
      <c r="AP109" s="928"/>
      <c r="AQ109" s="928"/>
      <c r="AR109" s="928"/>
      <c r="AS109" s="928"/>
      <c r="AT109" s="928"/>
      <c r="AU109" s="928"/>
      <c r="AV109" s="928"/>
      <c r="AW109" s="928"/>
      <c r="AX109" s="928"/>
      <c r="AY109" s="928"/>
      <c r="AZ109" s="928"/>
      <c r="BA109" s="928"/>
      <c r="BB109" s="928"/>
      <c r="BC109" s="928"/>
      <c r="BD109" s="928"/>
      <c r="BE109" s="928"/>
      <c r="BF109" s="1060"/>
    </row>
    <row r="110" spans="37:58" x14ac:dyDescent="0.35">
      <c r="AK110" s="928"/>
      <c r="AL110" s="1060"/>
      <c r="AM110" s="928"/>
      <c r="AN110" s="928"/>
      <c r="AO110" s="928"/>
      <c r="AP110" s="928"/>
      <c r="AQ110" s="928"/>
      <c r="AR110" s="928"/>
      <c r="AS110" s="928"/>
      <c r="AT110" s="928"/>
      <c r="AU110" s="928"/>
      <c r="AV110" s="928"/>
      <c r="AW110" s="928"/>
      <c r="AX110" s="928"/>
      <c r="AY110" s="928"/>
      <c r="AZ110" s="928"/>
      <c r="BA110" s="928"/>
      <c r="BB110" s="928"/>
      <c r="BC110" s="928"/>
      <c r="BD110" s="928"/>
      <c r="BE110" s="928"/>
      <c r="BF110" s="1060"/>
    </row>
    <row r="111" spans="37:58" x14ac:dyDescent="0.35">
      <c r="AK111" s="928"/>
      <c r="AL111" s="1060"/>
      <c r="AM111" s="928"/>
      <c r="AN111" s="928"/>
      <c r="AO111" s="928"/>
      <c r="AP111" s="928"/>
      <c r="AQ111" s="928"/>
      <c r="AR111" s="928"/>
      <c r="AS111" s="928"/>
      <c r="AT111" s="928"/>
      <c r="AU111" s="928"/>
      <c r="AV111" s="928"/>
      <c r="AW111" s="928"/>
      <c r="AX111" s="928"/>
      <c r="AY111" s="928"/>
      <c r="AZ111" s="928"/>
      <c r="BA111" s="928"/>
      <c r="BB111" s="928"/>
      <c r="BC111" s="928"/>
      <c r="BD111" s="928"/>
      <c r="BE111" s="928"/>
      <c r="BF111" s="1060"/>
    </row>
    <row r="112" spans="37:58" x14ac:dyDescent="0.35">
      <c r="AK112" s="928"/>
      <c r="AL112" s="1060"/>
      <c r="AM112" s="928"/>
      <c r="AN112" s="928"/>
      <c r="AO112" s="928"/>
      <c r="AP112" s="928"/>
      <c r="AQ112" s="928"/>
      <c r="AR112" s="928"/>
      <c r="AS112" s="928"/>
      <c r="AT112" s="928"/>
      <c r="AU112" s="928"/>
      <c r="AV112" s="928"/>
      <c r="AW112" s="928"/>
      <c r="AX112" s="928"/>
      <c r="AY112" s="928"/>
      <c r="AZ112" s="928"/>
      <c r="BA112" s="928"/>
      <c r="BB112" s="928"/>
      <c r="BC112" s="928"/>
      <c r="BD112" s="928"/>
      <c r="BE112" s="928"/>
      <c r="BF112" s="1060"/>
    </row>
  </sheetData>
  <sheetProtection sheet="1" objects="1" scenarios="1"/>
  <mergeCells count="429">
    <mergeCell ref="P47:P48"/>
    <mergeCell ref="Q47:Q48"/>
    <mergeCell ref="S47:S48"/>
    <mergeCell ref="S15:S16"/>
    <mergeCell ref="V15:V16"/>
    <mergeCell ref="F7:N7"/>
    <mergeCell ref="T3:T4"/>
    <mergeCell ref="R3:R4"/>
    <mergeCell ref="F16:N16"/>
    <mergeCell ref="V30:V31"/>
    <mergeCell ref="F43:N43"/>
    <mergeCell ref="P42:P43"/>
    <mergeCell ref="S42:S43"/>
    <mergeCell ref="V42:V43"/>
    <mergeCell ref="O42:O43"/>
    <mergeCell ref="S39:S40"/>
    <mergeCell ref="V39:V40"/>
    <mergeCell ref="O17:O18"/>
    <mergeCell ref="P17:P18"/>
    <mergeCell ref="P20:P21"/>
    <mergeCell ref="T15:T16"/>
    <mergeCell ref="T17:T18"/>
    <mergeCell ref="T20:T21"/>
    <mergeCell ref="AI6:AI7"/>
    <mergeCell ref="AJ6:AJ7"/>
    <mergeCell ref="R47:R48"/>
    <mergeCell ref="B6:B7"/>
    <mergeCell ref="D6:D7"/>
    <mergeCell ref="E6:E7"/>
    <mergeCell ref="P6:P7"/>
    <mergeCell ref="C6:C7"/>
    <mergeCell ref="O6:O7"/>
    <mergeCell ref="S6:S7"/>
    <mergeCell ref="V6:V7"/>
    <mergeCell ref="S9:S10"/>
    <mergeCell ref="V9:V10"/>
    <mergeCell ref="S11:S12"/>
    <mergeCell ref="V11:V12"/>
    <mergeCell ref="S13:S14"/>
    <mergeCell ref="V13:V14"/>
    <mergeCell ref="O15:O16"/>
    <mergeCell ref="P15:P16"/>
    <mergeCell ref="F47:N47"/>
    <mergeCell ref="Y9:Y10"/>
    <mergeCell ref="Z9:Z10"/>
    <mergeCell ref="AF9:AF10"/>
    <mergeCell ref="O47:O48"/>
    <mergeCell ref="BH3:BH4"/>
    <mergeCell ref="AE3:AE4"/>
    <mergeCell ref="AF3:AF4"/>
    <mergeCell ref="Y3:Y4"/>
    <mergeCell ref="Z3:Z4"/>
    <mergeCell ref="AA3:AA4"/>
    <mergeCell ref="B3:B4"/>
    <mergeCell ref="D3:D4"/>
    <mergeCell ref="E3:E4"/>
    <mergeCell ref="F3:N3"/>
    <mergeCell ref="O3:O4"/>
    <mergeCell ref="W3:W4"/>
    <mergeCell ref="X3:X4"/>
    <mergeCell ref="AB3:AB4"/>
    <mergeCell ref="AC3:AC4"/>
    <mergeCell ref="AD3:AD4"/>
    <mergeCell ref="AI3:AI4"/>
    <mergeCell ref="P3:P4"/>
    <mergeCell ref="Q3:Q4"/>
    <mergeCell ref="S3:S4"/>
    <mergeCell ref="U3:U4"/>
    <mergeCell ref="V3:V4"/>
    <mergeCell ref="BG3:BG4"/>
    <mergeCell ref="AD9:AD10"/>
    <mergeCell ref="Y11:Y12"/>
    <mergeCell ref="Z11:Z12"/>
    <mergeCell ref="AF11:AF12"/>
    <mergeCell ref="B11:B12"/>
    <mergeCell ref="C11:C12"/>
    <mergeCell ref="D11:D12"/>
    <mergeCell ref="E11:E12"/>
    <mergeCell ref="O11:O12"/>
    <mergeCell ref="P11:P12"/>
    <mergeCell ref="F12:N12"/>
    <mergeCell ref="T11:T12"/>
    <mergeCell ref="AC11:AC12"/>
    <mergeCell ref="AD11:AD12"/>
    <mergeCell ref="B9:B10"/>
    <mergeCell ref="C9:C10"/>
    <mergeCell ref="D9:D10"/>
    <mergeCell ref="E9:E10"/>
    <mergeCell ref="O9:O10"/>
    <mergeCell ref="P9:P10"/>
    <mergeCell ref="F10:N10"/>
    <mergeCell ref="T9:T10"/>
    <mergeCell ref="AC9:AC10"/>
    <mergeCell ref="Y13:Y14"/>
    <mergeCell ref="Z13:Z14"/>
    <mergeCell ref="AF13:AF14"/>
    <mergeCell ref="B13:B14"/>
    <mergeCell ref="C13:C14"/>
    <mergeCell ref="D13:D14"/>
    <mergeCell ref="E13:E14"/>
    <mergeCell ref="O13:O14"/>
    <mergeCell ref="P13:P14"/>
    <mergeCell ref="F14:N14"/>
    <mergeCell ref="T13:T14"/>
    <mergeCell ref="AC13:AC14"/>
    <mergeCell ref="AD13:AD14"/>
    <mergeCell ref="B15:B16"/>
    <mergeCell ref="C15:C16"/>
    <mergeCell ref="D15:D16"/>
    <mergeCell ref="E15:E16"/>
    <mergeCell ref="B22:B23"/>
    <mergeCell ref="C22:C23"/>
    <mergeCell ref="B45:B46"/>
    <mergeCell ref="C45:C46"/>
    <mergeCell ref="D45:D46"/>
    <mergeCell ref="E45:E46"/>
    <mergeCell ref="B42:B43"/>
    <mergeCell ref="C42:C43"/>
    <mergeCell ref="D42:D43"/>
    <mergeCell ref="E42:E43"/>
    <mergeCell ref="B30:B31"/>
    <mergeCell ref="D36:D37"/>
    <mergeCell ref="B17:B18"/>
    <mergeCell ref="C17:C18"/>
    <mergeCell ref="D17:D18"/>
    <mergeCell ref="E17:E18"/>
    <mergeCell ref="B20:B21"/>
    <mergeCell ref="C20:C21"/>
    <mergeCell ref="D20:D21"/>
    <mergeCell ref="E20:E21"/>
    <mergeCell ref="BH47:BH48"/>
    <mergeCell ref="AE47:AE48"/>
    <mergeCell ref="U47:U48"/>
    <mergeCell ref="V47:V48"/>
    <mergeCell ref="W47:W48"/>
    <mergeCell ref="X47:X48"/>
    <mergeCell ref="Y47:Y48"/>
    <mergeCell ref="Z22:Z23"/>
    <mergeCell ref="Y45:Y46"/>
    <mergeCell ref="Z45:Z46"/>
    <mergeCell ref="AF30:AF31"/>
    <mergeCell ref="Y30:Y31"/>
    <mergeCell ref="Z30:Z31"/>
    <mergeCell ref="V45:V46"/>
    <mergeCell ref="AK39:AL39"/>
    <mergeCell ref="AM39:AN39"/>
    <mergeCell ref="AI39:AI40"/>
    <mergeCell ref="AI36:AI37"/>
    <mergeCell ref="AJ36:AJ37"/>
    <mergeCell ref="AC42:AC43"/>
    <mergeCell ref="AD42:AD43"/>
    <mergeCell ref="AC45:AC46"/>
    <mergeCell ref="AD45:AD46"/>
    <mergeCell ref="AB47:AB48"/>
    <mergeCell ref="B27:B28"/>
    <mergeCell ref="D27:D28"/>
    <mergeCell ref="E27:E28"/>
    <mergeCell ref="BG47:BG48"/>
    <mergeCell ref="AF22:AF23"/>
    <mergeCell ref="F23:N23"/>
    <mergeCell ref="F46:N46"/>
    <mergeCell ref="F31:N31"/>
    <mergeCell ref="O45:O46"/>
    <mergeCell ref="P45:P46"/>
    <mergeCell ref="S45:S46"/>
    <mergeCell ref="P30:P31"/>
    <mergeCell ref="S30:S31"/>
    <mergeCell ref="B47:B48"/>
    <mergeCell ref="C47:C48"/>
    <mergeCell ref="D47:D48"/>
    <mergeCell ref="E47:E48"/>
    <mergeCell ref="AJ39:AJ40"/>
    <mergeCell ref="T39:T40"/>
    <mergeCell ref="C30:C31"/>
    <mergeCell ref="D30:D31"/>
    <mergeCell ref="E30:E31"/>
    <mergeCell ref="O30:O31"/>
    <mergeCell ref="AK42:AL42"/>
    <mergeCell ref="Y42:Y43"/>
    <mergeCell ref="Z42:Z43"/>
    <mergeCell ref="Y39:Y40"/>
    <mergeCell ref="Z39:Z40"/>
    <mergeCell ref="O36:O37"/>
    <mergeCell ref="O32:O33"/>
    <mergeCell ref="F37:N37"/>
    <mergeCell ref="P36:P37"/>
    <mergeCell ref="O39:O40"/>
    <mergeCell ref="O34:O35"/>
    <mergeCell ref="P34:P35"/>
    <mergeCell ref="S34:S35"/>
    <mergeCell ref="T42:T43"/>
    <mergeCell ref="D22:D23"/>
    <mergeCell ref="E22:E23"/>
    <mergeCell ref="O22:O23"/>
    <mergeCell ref="V34:V35"/>
    <mergeCell ref="Y34:Y35"/>
    <mergeCell ref="P39:P40"/>
    <mergeCell ref="F40:N40"/>
    <mergeCell ref="T22:T23"/>
    <mergeCell ref="T30:T31"/>
    <mergeCell ref="T32:T33"/>
    <mergeCell ref="T34:T35"/>
    <mergeCell ref="F33:N33"/>
    <mergeCell ref="P32:P33"/>
    <mergeCell ref="S32:S33"/>
    <mergeCell ref="V32:V33"/>
    <mergeCell ref="Y32:Y33"/>
    <mergeCell ref="P22:P23"/>
    <mergeCell ref="S22:S23"/>
    <mergeCell ref="V22:V23"/>
    <mergeCell ref="Y22:Y23"/>
    <mergeCell ref="E36:E37"/>
    <mergeCell ref="F27:N27"/>
    <mergeCell ref="R27:R28"/>
    <mergeCell ref="Z20:Z21"/>
    <mergeCell ref="S20:S21"/>
    <mergeCell ref="V20:V21"/>
    <mergeCell ref="O20:O21"/>
    <mergeCell ref="BL30:BL31"/>
    <mergeCell ref="BK36:BK37"/>
    <mergeCell ref="BL36:BL37"/>
    <mergeCell ref="BK42:BK43"/>
    <mergeCell ref="BL42:BL43"/>
    <mergeCell ref="BK30:BK31"/>
    <mergeCell ref="AI22:AI23"/>
    <mergeCell ref="AJ22:AJ23"/>
    <mergeCell ref="AI30:AI31"/>
    <mergeCell ref="AM22:AN22"/>
    <mergeCell ref="AC20:AC21"/>
    <mergeCell ref="AD20:AD21"/>
    <mergeCell ref="AC22:AC23"/>
    <mergeCell ref="BG27:BG28"/>
    <mergeCell ref="AK36:AL36"/>
    <mergeCell ref="O27:O28"/>
    <mergeCell ref="P27:P28"/>
    <mergeCell ref="Q27:Q28"/>
    <mergeCell ref="S27:S28"/>
    <mergeCell ref="AF42:AF43"/>
    <mergeCell ref="BK9:BK10"/>
    <mergeCell ref="BL9:BL10"/>
    <mergeCell ref="BK11:BK12"/>
    <mergeCell ref="BL11:BL12"/>
    <mergeCell ref="BK13:BK14"/>
    <mergeCell ref="BL13:BL14"/>
    <mergeCell ref="BK15:BK16"/>
    <mergeCell ref="BL15:BL16"/>
    <mergeCell ref="BK17:BK18"/>
    <mergeCell ref="BL17:BL18"/>
    <mergeCell ref="BL50:BL55"/>
    <mergeCell ref="BK47:BK48"/>
    <mergeCell ref="BL47:BL48"/>
    <mergeCell ref="BK45:BK46"/>
    <mergeCell ref="BL45:BL46"/>
    <mergeCell ref="BK32:BK33"/>
    <mergeCell ref="BL32:BL33"/>
    <mergeCell ref="BK34:BK35"/>
    <mergeCell ref="BL34:BL35"/>
    <mergeCell ref="BK50:BK55"/>
    <mergeCell ref="Z47:Z48"/>
    <mergeCell ref="AA47:AA48"/>
    <mergeCell ref="Z15:Z16"/>
    <mergeCell ref="S17:S18"/>
    <mergeCell ref="V17:V18"/>
    <mergeCell ref="Y17:Y18"/>
    <mergeCell ref="Z17:Z18"/>
    <mergeCell ref="AF36:AF37"/>
    <mergeCell ref="S36:S37"/>
    <mergeCell ref="V36:V37"/>
    <mergeCell ref="Y36:Y37"/>
    <mergeCell ref="Z36:Z37"/>
    <mergeCell ref="Z34:Z35"/>
    <mergeCell ref="AF34:AF35"/>
    <mergeCell ref="T36:T37"/>
    <mergeCell ref="AD22:AD23"/>
    <mergeCell ref="AC30:AC31"/>
    <mergeCell ref="AD30:AD31"/>
    <mergeCell ref="AC27:AC28"/>
    <mergeCell ref="AD27:AD28"/>
    <mergeCell ref="AD15:AD16"/>
    <mergeCell ref="AC17:AC18"/>
    <mergeCell ref="AD17:AD18"/>
    <mergeCell ref="Y20:Y21"/>
    <mergeCell ref="AI9:AI10"/>
    <mergeCell ref="AJ9:AJ10"/>
    <mergeCell ref="AI11:AI12"/>
    <mergeCell ref="AJ11:AJ12"/>
    <mergeCell ref="AI13:AI14"/>
    <mergeCell ref="AJ13:AJ14"/>
    <mergeCell ref="AI47:AI48"/>
    <mergeCell ref="AJ47:AJ48"/>
    <mergeCell ref="AJ30:AJ31"/>
    <mergeCell ref="AI32:AI33"/>
    <mergeCell ref="AC47:AC48"/>
    <mergeCell ref="AD47:AD48"/>
    <mergeCell ref="AJ32:AJ33"/>
    <mergeCell ref="AD39:AD40"/>
    <mergeCell ref="AF20:AF21"/>
    <mergeCell ref="AG39:AG40"/>
    <mergeCell ref="AH39:AH40"/>
    <mergeCell ref="AI15:AI16"/>
    <mergeCell ref="AJ15:AJ16"/>
    <mergeCell ref="AI17:AI18"/>
    <mergeCell ref="AJ17:AJ18"/>
    <mergeCell ref="AI20:AI21"/>
    <mergeCell ref="AJ20:AJ21"/>
    <mergeCell ref="AI27:AI28"/>
    <mergeCell ref="AH36:AH37"/>
    <mergeCell ref="AI34:AI35"/>
    <mergeCell ref="AJ34:AJ35"/>
    <mergeCell ref="AF47:AF48"/>
    <mergeCell ref="B32:B33"/>
    <mergeCell ref="C32:C33"/>
    <mergeCell ref="D32:D33"/>
    <mergeCell ref="E32:E33"/>
    <mergeCell ref="B34:B35"/>
    <mergeCell ref="C34:C35"/>
    <mergeCell ref="D34:D35"/>
    <mergeCell ref="E34:E35"/>
    <mergeCell ref="AG36:AG37"/>
    <mergeCell ref="F35:N35"/>
    <mergeCell ref="AC32:AC33"/>
    <mergeCell ref="AD32:AD33"/>
    <mergeCell ref="B1:AF1"/>
    <mergeCell ref="AI1:BH1"/>
    <mergeCell ref="F2:N2"/>
    <mergeCell ref="F24:N24"/>
    <mergeCell ref="B25:AF25"/>
    <mergeCell ref="AI25:BH25"/>
    <mergeCell ref="F26:N26"/>
    <mergeCell ref="BH27:BH28"/>
    <mergeCell ref="AC6:AC7"/>
    <mergeCell ref="T27:T28"/>
    <mergeCell ref="U27:U28"/>
    <mergeCell ref="V27:V28"/>
    <mergeCell ref="W27:W28"/>
    <mergeCell ref="X27:X28"/>
    <mergeCell ref="Y27:Y28"/>
    <mergeCell ref="Z27:Z28"/>
    <mergeCell ref="AA27:AA28"/>
    <mergeCell ref="AB27:AB28"/>
    <mergeCell ref="Y15:Y16"/>
    <mergeCell ref="AK22:AL22"/>
    <mergeCell ref="Y6:Y7"/>
    <mergeCell ref="BH6:BH7"/>
    <mergeCell ref="AK20:AL20"/>
    <mergeCell ref="AM20:AN20"/>
    <mergeCell ref="A6:A7"/>
    <mergeCell ref="A9:A10"/>
    <mergeCell ref="A11:A12"/>
    <mergeCell ref="A13:A14"/>
    <mergeCell ref="A15:A16"/>
    <mergeCell ref="A17:A18"/>
    <mergeCell ref="A20:A21"/>
    <mergeCell ref="A22:A23"/>
    <mergeCell ref="A30:A31"/>
    <mergeCell ref="F54:N54"/>
    <mergeCell ref="AG6:AG7"/>
    <mergeCell ref="AH6:AH7"/>
    <mergeCell ref="AG9:AG10"/>
    <mergeCell ref="AH9:AH10"/>
    <mergeCell ref="AG11:AG12"/>
    <mergeCell ref="AH11:AH12"/>
    <mergeCell ref="AG13:AG14"/>
    <mergeCell ref="AH13:AH14"/>
    <mergeCell ref="AG15:AG16"/>
    <mergeCell ref="AH15:AH16"/>
    <mergeCell ref="AG17:AG18"/>
    <mergeCell ref="AH17:AH18"/>
    <mergeCell ref="AG20:AG21"/>
    <mergeCell ref="AH20:AH21"/>
    <mergeCell ref="AG22:AG23"/>
    <mergeCell ref="AH22:AH23"/>
    <mergeCell ref="AG30:AG31"/>
    <mergeCell ref="AE27:AE28"/>
    <mergeCell ref="AF27:AF28"/>
    <mergeCell ref="T45:T46"/>
    <mergeCell ref="T47:T48"/>
    <mergeCell ref="F18:N18"/>
    <mergeCell ref="F21:N21"/>
    <mergeCell ref="A32:A33"/>
    <mergeCell ref="A34:A35"/>
    <mergeCell ref="A36:A37"/>
    <mergeCell ref="A39:A40"/>
    <mergeCell ref="A42:A43"/>
    <mergeCell ref="B36:B37"/>
    <mergeCell ref="AG42:AG43"/>
    <mergeCell ref="AH42:AH43"/>
    <mergeCell ref="AG45:AG46"/>
    <mergeCell ref="AH45:AH46"/>
    <mergeCell ref="A45:A46"/>
    <mergeCell ref="B39:B40"/>
    <mergeCell ref="C39:C40"/>
    <mergeCell ref="D39:D40"/>
    <mergeCell ref="E39:E40"/>
    <mergeCell ref="C36:C37"/>
    <mergeCell ref="AF39:AF40"/>
    <mergeCell ref="AC34:AC35"/>
    <mergeCell ref="AD34:AD35"/>
    <mergeCell ref="AC36:AC37"/>
    <mergeCell ref="AD36:AD37"/>
    <mergeCell ref="AC39:AC40"/>
    <mergeCell ref="AF32:AF33"/>
    <mergeCell ref="Z32:Z33"/>
    <mergeCell ref="BI6:BI7"/>
    <mergeCell ref="BI9:BI10"/>
    <mergeCell ref="BI11:BI12"/>
    <mergeCell ref="BI13:BI14"/>
    <mergeCell ref="BI15:BI16"/>
    <mergeCell ref="BI17:BI18"/>
    <mergeCell ref="BI20:BI21"/>
    <mergeCell ref="BI22:BI23"/>
    <mergeCell ref="BI30:BI31"/>
    <mergeCell ref="BI32:BI33"/>
    <mergeCell ref="BI34:BI35"/>
    <mergeCell ref="BI36:BI37"/>
    <mergeCell ref="BI39:BI40"/>
    <mergeCell ref="BI42:BI43"/>
    <mergeCell ref="BI45:BI46"/>
    <mergeCell ref="AH30:AH31"/>
    <mergeCell ref="AG32:AG33"/>
    <mergeCell ref="AH32:AH33"/>
    <mergeCell ref="AG34:AG35"/>
    <mergeCell ref="AH34:AH35"/>
    <mergeCell ref="AJ42:AJ43"/>
    <mergeCell ref="AI45:AI46"/>
    <mergeCell ref="AJ45:AJ46"/>
    <mergeCell ref="AM42:AN42"/>
    <mergeCell ref="AM36:AN36"/>
    <mergeCell ref="AI42:AI43"/>
  </mergeCells>
  <conditionalFormatting sqref="E9 E11 E13 E15">
    <cfRule type="containsText" dxfId="280" priority="66" operator="containsText" text="Desirable">
      <formula>NOT(ISERROR(SEARCH("Desirable",E9)))</formula>
    </cfRule>
    <cfRule type="containsText" dxfId="279" priority="64" operator="containsText" text="Critical">
      <formula>NOT(ISERROR(SEARCH("Critical",E9)))</formula>
    </cfRule>
    <cfRule type="containsText" dxfId="278" priority="65" operator="containsText" text="Essential">
      <formula>NOT(ISERROR(SEARCH("Essential",E9)))</formula>
    </cfRule>
  </conditionalFormatting>
  <conditionalFormatting sqref="E9">
    <cfRule type="containsText" dxfId="277" priority="63" operator="containsText" text="Required">
      <formula>NOT(ISERROR(SEARCH("Required",E9)))</formula>
    </cfRule>
  </conditionalFormatting>
  <conditionalFormatting sqref="E11 E13 E15">
    <cfRule type="containsText" dxfId="276" priority="62" operator="containsText" text="Required">
      <formula>NOT(ISERROR(SEARCH("Required",E11)))</formula>
    </cfRule>
  </conditionalFormatting>
  <conditionalFormatting sqref="E17">
    <cfRule type="containsText" dxfId="275" priority="29" operator="containsText" text="Required">
      <formula>NOT(ISERROR(SEARCH("Required",E17)))</formula>
    </cfRule>
    <cfRule type="containsText" dxfId="274" priority="30" operator="containsText" text="Critical">
      <formula>NOT(ISERROR(SEARCH("Critical",E17)))</formula>
    </cfRule>
    <cfRule type="containsText" dxfId="273" priority="31" operator="containsText" text="Essential">
      <formula>NOT(ISERROR(SEARCH("Essential",E17)))</formula>
    </cfRule>
    <cfRule type="containsText" dxfId="272" priority="32" operator="containsText" text="Desirable">
      <formula>NOT(ISERROR(SEARCH("Desirable",E17)))</formula>
    </cfRule>
  </conditionalFormatting>
  <conditionalFormatting sqref="E20 E22">
    <cfRule type="containsText" dxfId="271" priority="59" operator="containsText" text="Critical">
      <formula>NOT(ISERROR(SEARCH("Critical",E20)))</formula>
    </cfRule>
    <cfRule type="containsText" dxfId="270" priority="60" operator="containsText" text="Essential">
      <formula>NOT(ISERROR(SEARCH("Essential",E20)))</formula>
    </cfRule>
    <cfRule type="containsText" dxfId="269" priority="61" operator="containsText" text="Desirable">
      <formula>NOT(ISERROR(SEARCH("Desirable",E20)))</formula>
    </cfRule>
  </conditionalFormatting>
  <conditionalFormatting sqref="E20">
    <cfRule type="containsText" dxfId="268" priority="58" operator="containsText" text="Required">
      <formula>NOT(ISERROR(SEARCH("Required",E20)))</formula>
    </cfRule>
  </conditionalFormatting>
  <conditionalFormatting sqref="E22">
    <cfRule type="containsText" dxfId="267" priority="57" operator="containsText" text="Required">
      <formula>NOT(ISERROR(SEARCH("Required",E22)))</formula>
    </cfRule>
  </conditionalFormatting>
  <conditionalFormatting sqref="E30">
    <cfRule type="containsText" dxfId="266" priority="25" operator="containsText" text="Required">
      <formula>NOT(ISERROR(SEARCH("Required",E30)))</formula>
    </cfRule>
    <cfRule type="containsText" dxfId="265" priority="26" operator="containsText" text="Critical">
      <formula>NOT(ISERROR(SEARCH("Critical",E30)))</formula>
    </cfRule>
    <cfRule type="containsText" dxfId="264" priority="27" operator="containsText" text="Essential">
      <formula>NOT(ISERROR(SEARCH("Essential",E30)))</formula>
    </cfRule>
    <cfRule type="containsText" dxfId="263" priority="28" operator="containsText" text="Desirable">
      <formula>NOT(ISERROR(SEARCH("Desirable",E30)))</formula>
    </cfRule>
  </conditionalFormatting>
  <conditionalFormatting sqref="E32">
    <cfRule type="containsText" dxfId="262" priority="21" operator="containsText" text="Required">
      <formula>NOT(ISERROR(SEARCH("Required",E32)))</formula>
    </cfRule>
    <cfRule type="containsText" dxfId="261" priority="22" operator="containsText" text="Critical">
      <formula>NOT(ISERROR(SEARCH("Critical",E32)))</formula>
    </cfRule>
    <cfRule type="containsText" dxfId="260" priority="23" operator="containsText" text="Essential">
      <formula>NOT(ISERROR(SEARCH("Essential",E32)))</formula>
    </cfRule>
    <cfRule type="containsText" dxfId="259" priority="24" operator="containsText" text="Desirable">
      <formula>NOT(ISERROR(SEARCH("Desirable",E32)))</formula>
    </cfRule>
  </conditionalFormatting>
  <conditionalFormatting sqref="E34">
    <cfRule type="containsText" dxfId="258" priority="12" operator="containsText" text="Desirable">
      <formula>NOT(ISERROR(SEARCH("Desirable",E34)))</formula>
    </cfRule>
    <cfRule type="containsText" dxfId="257" priority="9" operator="containsText" text="Required">
      <formula>NOT(ISERROR(SEARCH("Required",E34)))</formula>
    </cfRule>
    <cfRule type="containsText" dxfId="256" priority="10" operator="containsText" text="Critical">
      <formula>NOT(ISERROR(SEARCH("Critical",E34)))</formula>
    </cfRule>
    <cfRule type="containsText" dxfId="255" priority="11" operator="containsText" text="Essential">
      <formula>NOT(ISERROR(SEARCH("Essential",E34)))</formula>
    </cfRule>
  </conditionalFormatting>
  <conditionalFormatting sqref="E36 E45">
    <cfRule type="containsText" dxfId="254" priority="39" operator="containsText" text="Critical">
      <formula>NOT(ISERROR(SEARCH("Critical",E36)))</formula>
    </cfRule>
    <cfRule type="containsText" dxfId="253" priority="41" operator="containsText" text="Desirable">
      <formula>NOT(ISERROR(SEARCH("Desirable",E36)))</formula>
    </cfRule>
    <cfRule type="containsText" dxfId="252" priority="40" operator="containsText" text="Essential">
      <formula>NOT(ISERROR(SEARCH("Essential",E36)))</formula>
    </cfRule>
  </conditionalFormatting>
  <conditionalFormatting sqref="E36">
    <cfRule type="containsText" dxfId="251" priority="38" operator="containsText" text="Required">
      <formula>NOT(ISERROR(SEARCH("Required",E36)))</formula>
    </cfRule>
  </conditionalFormatting>
  <conditionalFormatting sqref="E39">
    <cfRule type="containsText" dxfId="250" priority="54" operator="containsText" text="Critical">
      <formula>NOT(ISERROR(SEARCH("Critical",E39)))</formula>
    </cfRule>
    <cfRule type="containsText" dxfId="249" priority="55" operator="containsText" text="Essential">
      <formula>NOT(ISERROR(SEARCH("Essential",E39)))</formula>
    </cfRule>
    <cfRule type="containsText" dxfId="248" priority="56" operator="containsText" text="Desirable">
      <formula>NOT(ISERROR(SEARCH("Desirable",E39)))</formula>
    </cfRule>
    <cfRule type="containsText" dxfId="247" priority="53" operator="containsText" text="Required">
      <formula>NOT(ISERROR(SEARCH("Required",E39)))</formula>
    </cfRule>
  </conditionalFormatting>
  <conditionalFormatting sqref="E42">
    <cfRule type="containsText" dxfId="246" priority="48" operator="containsText" text="Required">
      <formula>NOT(ISERROR(SEARCH("Required",E42)))</formula>
    </cfRule>
    <cfRule type="containsText" dxfId="245" priority="49" operator="containsText" text="Critical">
      <formula>NOT(ISERROR(SEARCH("Critical",E42)))</formula>
    </cfRule>
    <cfRule type="containsText" dxfId="244" priority="50" operator="containsText" text="Essential">
      <formula>NOT(ISERROR(SEARCH("Essential",E42)))</formula>
    </cfRule>
    <cfRule type="containsText" dxfId="243" priority="51" operator="containsText" text="Desirable">
      <formula>NOT(ISERROR(SEARCH("Desirable",E42)))</formula>
    </cfRule>
  </conditionalFormatting>
  <conditionalFormatting sqref="E45">
    <cfRule type="containsText" dxfId="242" priority="37" operator="containsText" text="Required">
      <formula>NOT(ISERROR(SEARCH("Required",E45)))</formula>
    </cfRule>
  </conditionalFormatting>
  <pageMargins left="0.19685039370078741" right="0.19685039370078741" top="0.19685039370078741" bottom="0.19685039370078741" header="7.874015748031496E-2" footer="0"/>
  <pageSetup paperSize="8" scale="35" pageOrder="overThenDown" orientation="landscape" r:id="rId1"/>
  <headerFooter>
    <oddHeader>&amp;F</oddHeader>
  </headerFooter>
  <rowBreaks count="1" manualBreakCount="1">
    <brk id="24" max="59" man="1"/>
  </rowBreaks>
  <colBreaks count="1" manualBreakCount="1">
    <brk id="33" max="53"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DJ22"/>
  <sheetViews>
    <sheetView showGridLines="0" zoomScaleNormal="100" workbookViewId="0">
      <pane xSplit="3" ySplit="1" topLeftCell="D2" activePane="bottomRight" state="frozen"/>
      <selection pane="topRight" activeCell="U1" sqref="U1:X1048576"/>
      <selection pane="bottomLeft" activeCell="U1" sqref="U1:X1048576"/>
      <selection pane="bottomRight" activeCell="K27" sqref="K27"/>
    </sheetView>
  </sheetViews>
  <sheetFormatPr defaultColWidth="9.08984375" defaultRowHeight="14.5" outlineLevelCol="1" x14ac:dyDescent="0.35"/>
  <cols>
    <col min="1" max="1" width="8.90625" style="289" customWidth="1"/>
    <col min="2" max="2" width="8.90625" style="417" customWidth="1"/>
    <col min="3" max="3" width="44.453125" style="289" customWidth="1"/>
    <col min="4" max="4" width="11.08984375" style="289" customWidth="1"/>
    <col min="5" max="6" width="22.08984375" style="289" customWidth="1"/>
    <col min="7" max="7" width="16.90625" style="289" customWidth="1"/>
    <col min="8" max="8" width="33.08984375" style="289" customWidth="1"/>
    <col min="9" max="11" width="16.90625" style="289" customWidth="1"/>
    <col min="12" max="12" width="33.08984375" style="289" customWidth="1"/>
    <col min="13" max="13" width="16.90625" style="289" customWidth="1"/>
    <col min="14" max="14" width="11.08984375" style="289" customWidth="1"/>
    <col min="15" max="20" width="7.90625" style="289" customWidth="1"/>
    <col min="21" max="26" width="7.90625" style="289" hidden="1" customWidth="1" outlineLevel="1"/>
    <col min="27" max="27" width="55.54296875" style="289" customWidth="1" collapsed="1"/>
    <col min="28" max="28" width="22" style="289" customWidth="1" outlineLevel="1"/>
    <col min="29" max="29" width="33.08984375" style="289" customWidth="1" outlineLevel="1"/>
    <col min="30" max="30" width="12.08984375" style="289" customWidth="1" outlineLevel="1"/>
    <col min="31" max="31" width="33.08984375" style="289" customWidth="1" outlineLevel="1"/>
    <col min="32" max="32" width="11.08984375" style="289" customWidth="1"/>
    <col min="33" max="33" width="20" style="289" customWidth="1"/>
    <col min="34" max="62" width="16.90625" style="289" customWidth="1"/>
    <col min="63" max="64" width="9.08984375" style="289"/>
    <col min="65" max="65" width="0" style="289" hidden="1" customWidth="1" outlineLevel="1"/>
    <col min="66" max="113" width="16.90625" style="289" hidden="1" customWidth="1" outlineLevel="1"/>
    <col min="114" max="114" width="9.08984375" style="289" collapsed="1"/>
    <col min="115" max="16384" width="9.08984375" style="289"/>
  </cols>
  <sheetData>
    <row r="1" spans="1:113" s="348" customFormat="1" ht="75.650000000000006" customHeight="1" x14ac:dyDescent="0.35">
      <c r="A1" s="54" t="s">
        <v>210</v>
      </c>
      <c r="B1" s="2" t="s">
        <v>211</v>
      </c>
      <c r="C1" s="2" t="s">
        <v>212</v>
      </c>
      <c r="D1" s="2" t="s">
        <v>213</v>
      </c>
      <c r="E1" s="2" t="s">
        <v>214</v>
      </c>
      <c r="F1" s="93" t="s">
        <v>215</v>
      </c>
      <c r="G1" s="92" t="s">
        <v>1</v>
      </c>
      <c r="H1" s="3" t="s">
        <v>1741</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54" t="s">
        <v>220</v>
      </c>
      <c r="AB1" s="54" t="s">
        <v>221</v>
      </c>
      <c r="AC1" s="2" t="s">
        <v>222</v>
      </c>
      <c r="AD1" s="2" t="s">
        <v>223</v>
      </c>
      <c r="AE1" s="211" t="s">
        <v>224</v>
      </c>
      <c r="AF1" s="2" t="s">
        <v>225</v>
      </c>
      <c r="AG1" s="93" t="s">
        <v>226</v>
      </c>
      <c r="AH1" s="106" t="s">
        <v>171</v>
      </c>
      <c r="AI1" s="298"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287"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s="356" customFormat="1" ht="56" x14ac:dyDescent="0.3">
      <c r="A2" s="55" t="s">
        <v>1742</v>
      </c>
      <c r="B2" s="90" t="s">
        <v>1743</v>
      </c>
      <c r="C2" s="6" t="s">
        <v>1744</v>
      </c>
      <c r="D2" s="265" t="s">
        <v>297</v>
      </c>
      <c r="E2" s="6" t="s">
        <v>1008</v>
      </c>
      <c r="F2" s="134" t="s">
        <v>1339</v>
      </c>
      <c r="G2" s="113">
        <f>'[1]Costs (Arup)'!G186</f>
        <v>10016000</v>
      </c>
      <c r="H2" s="416" t="s">
        <v>1745</v>
      </c>
      <c r="I2" s="59">
        <v>0</v>
      </c>
      <c r="J2" s="59">
        <f>G2-I2</f>
        <v>10016000</v>
      </c>
      <c r="K2" s="126">
        <f>J2</f>
        <v>10016000</v>
      </c>
      <c r="L2" s="114" t="s">
        <v>1340</v>
      </c>
      <c r="M2" s="129">
        <f>J2-K2</f>
        <v>0</v>
      </c>
      <c r="N2" s="100" t="s">
        <v>903</v>
      </c>
      <c r="O2" s="98"/>
      <c r="P2" s="98"/>
      <c r="Q2" s="9"/>
      <c r="R2" s="9"/>
      <c r="S2" s="9"/>
      <c r="T2" s="103"/>
      <c r="U2" s="224"/>
      <c r="V2" s="242">
        <v>1</v>
      </c>
      <c r="W2" s="223"/>
      <c r="X2" s="223"/>
      <c r="Y2" s="223"/>
      <c r="Z2" s="225"/>
      <c r="AA2" s="96" t="s">
        <v>1746</v>
      </c>
      <c r="AB2" s="1" t="s">
        <v>309</v>
      </c>
      <c r="AC2" s="1" t="s">
        <v>1747</v>
      </c>
      <c r="AD2" s="275" t="s">
        <v>346</v>
      </c>
      <c r="AE2" s="1"/>
      <c r="AF2" s="405" t="s">
        <v>461</v>
      </c>
      <c r="AG2" s="94" t="s">
        <v>293</v>
      </c>
      <c r="AH2" s="163">
        <f>$K$2*'[1]Apportionment %'!C10</f>
        <v>1045075.1252086811</v>
      </c>
      <c r="AI2" s="87">
        <f>$K$2*'[1]Apportionment %'!D10</f>
        <v>3622927.1007234277</v>
      </c>
      <c r="AJ2" s="87">
        <f>$K$2*'[1]Apportionment %'!E10</f>
        <v>1463105.1752921536</v>
      </c>
      <c r="AK2" s="87">
        <f>$K$2*'[1]Apportionment %'!F10</f>
        <v>1124500.8347245408</v>
      </c>
      <c r="AL2" s="87">
        <f>$K$2*'[1]Apportionment %'!G10</f>
        <v>1854659.9888703395</v>
      </c>
      <c r="AM2" s="286"/>
      <c r="AN2" s="286"/>
      <c r="AO2" s="87">
        <f>$K$2*'[1]Apportionment %'!J10</f>
        <v>905731.77518085693</v>
      </c>
      <c r="AP2" s="8"/>
      <c r="AQ2" s="8"/>
      <c r="AR2" s="8"/>
      <c r="AS2" s="8"/>
      <c r="AT2" s="8"/>
      <c r="AU2" s="8"/>
      <c r="AV2" s="8"/>
      <c r="AW2" s="8"/>
      <c r="AX2" s="8"/>
      <c r="AY2" s="8"/>
      <c r="AZ2" s="8"/>
      <c r="BA2" s="8"/>
      <c r="BB2" s="8"/>
      <c r="BC2" s="8"/>
      <c r="BD2" s="8"/>
      <c r="BE2" s="8"/>
      <c r="BF2" s="8"/>
      <c r="BG2" s="8"/>
      <c r="BH2" s="8"/>
      <c r="BI2" s="8"/>
      <c r="BJ2" s="8"/>
      <c r="BK2" s="288" t="b">
        <f>K2=SUM(AH2:BJ2)</f>
        <v>1</v>
      </c>
      <c r="BN2" s="360">
        <f>$U2*AH2</f>
        <v>0</v>
      </c>
      <c r="BO2" s="360">
        <f>$V2*AH2</f>
        <v>1045075.1252086811</v>
      </c>
      <c r="BP2" s="360">
        <f>$W2*AH2</f>
        <v>0</v>
      </c>
      <c r="BQ2" s="360">
        <f>$X2*AH2</f>
        <v>0</v>
      </c>
      <c r="BR2" s="360">
        <f>$Y2*AH2</f>
        <v>0</v>
      </c>
      <c r="BS2" s="360">
        <f>$Z2*AH2</f>
        <v>0</v>
      </c>
      <c r="BT2" s="360">
        <f>$U2*AI2</f>
        <v>0</v>
      </c>
      <c r="BU2" s="360">
        <f>$V2*AI2</f>
        <v>3622927.1007234277</v>
      </c>
      <c r="BV2" s="360">
        <f>$W2*AI2</f>
        <v>0</v>
      </c>
      <c r="BW2" s="360">
        <f>$X2*AI2</f>
        <v>0</v>
      </c>
      <c r="BX2" s="360">
        <f>$Y2*AI2</f>
        <v>0</v>
      </c>
      <c r="BY2" s="360">
        <f>$Z2*AI2</f>
        <v>0</v>
      </c>
      <c r="BZ2" s="360">
        <f>$U2*AJ2</f>
        <v>0</v>
      </c>
      <c r="CA2" s="360">
        <f>$V2*AJ2</f>
        <v>1463105.1752921536</v>
      </c>
      <c r="CB2" s="360">
        <f>$W2*AJ2</f>
        <v>0</v>
      </c>
      <c r="CC2" s="360">
        <f>$X2*AJ2</f>
        <v>0</v>
      </c>
      <c r="CD2" s="360">
        <f>$Y2*AJ2</f>
        <v>0</v>
      </c>
      <c r="CE2" s="360">
        <f>$Z2*AJ2</f>
        <v>0</v>
      </c>
      <c r="CF2" s="360">
        <f>$U2*AK2</f>
        <v>0</v>
      </c>
      <c r="CG2" s="360">
        <f>$V2*AK2</f>
        <v>1124500.8347245408</v>
      </c>
      <c r="CH2" s="360">
        <f>$W2*AK2</f>
        <v>0</v>
      </c>
      <c r="CI2" s="360">
        <f>$X2*AK2</f>
        <v>0</v>
      </c>
      <c r="CJ2" s="360">
        <f>$Y2*AK2</f>
        <v>0</v>
      </c>
      <c r="CK2" s="360">
        <f>$Z2*AK2</f>
        <v>0</v>
      </c>
      <c r="CL2" s="360">
        <f>$U2*AL2</f>
        <v>0</v>
      </c>
      <c r="CM2" s="360">
        <f>$V2*AL2</f>
        <v>1854659.9888703395</v>
      </c>
      <c r="CN2" s="360">
        <f>$W2*AL2</f>
        <v>0</v>
      </c>
      <c r="CO2" s="360">
        <f>$X2*AL2</f>
        <v>0</v>
      </c>
      <c r="CP2" s="360">
        <f>$Y2*AL2</f>
        <v>0</v>
      </c>
      <c r="CQ2" s="360">
        <f>$Z2*AL2</f>
        <v>0</v>
      </c>
      <c r="CR2" s="360">
        <f>$U2*AM2</f>
        <v>0</v>
      </c>
      <c r="CS2" s="360">
        <f>$V2*AM2</f>
        <v>0</v>
      </c>
      <c r="CT2" s="360">
        <f>$W2*AM2</f>
        <v>0</v>
      </c>
      <c r="CU2" s="360">
        <f>$X2*AM2</f>
        <v>0</v>
      </c>
      <c r="CV2" s="360">
        <f>$Y2*AM2</f>
        <v>0</v>
      </c>
      <c r="CW2" s="360">
        <f>$Z2*AM2</f>
        <v>0</v>
      </c>
      <c r="CX2" s="360">
        <f>$U2*AN2</f>
        <v>0</v>
      </c>
      <c r="CY2" s="360">
        <f>$V2*AN2</f>
        <v>0</v>
      </c>
      <c r="CZ2" s="360">
        <f>$W2*AN2</f>
        <v>0</v>
      </c>
      <c r="DA2" s="360">
        <f>$X2*AN2</f>
        <v>0</v>
      </c>
      <c r="DB2" s="360">
        <f>$Y2*AN2</f>
        <v>0</v>
      </c>
      <c r="DC2" s="360">
        <f>$Z2*AN2</f>
        <v>0</v>
      </c>
      <c r="DD2" s="360">
        <f>$U2*AO2</f>
        <v>0</v>
      </c>
      <c r="DE2" s="360">
        <f>$V2*AO2</f>
        <v>905731.77518085693</v>
      </c>
      <c r="DF2" s="360">
        <f>$W2*AO2</f>
        <v>0</v>
      </c>
      <c r="DG2" s="360">
        <f>$X2*AO2</f>
        <v>0</v>
      </c>
      <c r="DH2" s="360">
        <f>$Y2*AO2</f>
        <v>0</v>
      </c>
      <c r="DI2" s="360">
        <f>$Z2*AO2</f>
        <v>0</v>
      </c>
    </row>
    <row r="3" spans="1:113" s="356" customFormat="1" ht="56" x14ac:dyDescent="0.3">
      <c r="A3" s="55" t="s">
        <v>1748</v>
      </c>
      <c r="B3" s="90" t="s">
        <v>1749</v>
      </c>
      <c r="C3" s="6" t="s">
        <v>1750</v>
      </c>
      <c r="D3" s="265" t="s">
        <v>297</v>
      </c>
      <c r="E3" s="6" t="s">
        <v>1751</v>
      </c>
      <c r="F3" s="134" t="s">
        <v>1339</v>
      </c>
      <c r="G3" s="113">
        <f>'[1]Costs (Arup)'!G187</f>
        <v>11015680</v>
      </c>
      <c r="H3" s="416" t="s">
        <v>1745</v>
      </c>
      <c r="I3" s="59">
        <v>0</v>
      </c>
      <c r="J3" s="59">
        <f>G3</f>
        <v>11015680</v>
      </c>
      <c r="K3" s="126">
        <f>J3</f>
        <v>11015680</v>
      </c>
      <c r="L3" s="114" t="s">
        <v>1340</v>
      </c>
      <c r="M3" s="129">
        <f>J3-K3</f>
        <v>0</v>
      </c>
      <c r="N3" s="100" t="s">
        <v>265</v>
      </c>
      <c r="O3" s="31"/>
      <c r="P3" s="98"/>
      <c r="Q3" s="98"/>
      <c r="R3" s="9"/>
      <c r="S3" s="9"/>
      <c r="T3" s="103"/>
      <c r="U3" s="233"/>
      <c r="V3" s="224"/>
      <c r="W3" s="242">
        <v>1</v>
      </c>
      <c r="X3" s="226"/>
      <c r="Y3" s="226"/>
      <c r="Z3" s="227"/>
      <c r="AA3" s="96" t="s">
        <v>1752</v>
      </c>
      <c r="AB3" s="1" t="s">
        <v>309</v>
      </c>
      <c r="AC3" s="1" t="s">
        <v>1747</v>
      </c>
      <c r="AD3" s="275" t="s">
        <v>346</v>
      </c>
      <c r="AE3" s="1"/>
      <c r="AF3" s="97" t="s">
        <v>242</v>
      </c>
      <c r="AG3" s="94" t="s">
        <v>268</v>
      </c>
      <c r="AH3" s="132"/>
      <c r="AI3" s="8"/>
      <c r="AJ3" s="8"/>
      <c r="AK3" s="8"/>
      <c r="AL3" s="8"/>
      <c r="AM3" s="87">
        <f>$K$3*'[1]Apportionment %'!H9</f>
        <v>9363328</v>
      </c>
      <c r="AN3" s="87">
        <f>$K$3*'[1]Apportionment %'!I9</f>
        <v>1652352</v>
      </c>
      <c r="AO3" s="8"/>
      <c r="AP3" s="8"/>
      <c r="AQ3" s="8"/>
      <c r="AR3" s="8"/>
      <c r="AS3" s="8"/>
      <c r="AT3" s="8"/>
      <c r="AU3" s="8"/>
      <c r="AV3" s="8"/>
      <c r="AW3" s="8"/>
      <c r="AX3" s="8"/>
      <c r="AY3" s="8"/>
      <c r="AZ3" s="8"/>
      <c r="BA3" s="8"/>
      <c r="BB3" s="8"/>
      <c r="BC3" s="8"/>
      <c r="BD3" s="8"/>
      <c r="BE3" s="8"/>
      <c r="BF3" s="8"/>
      <c r="BG3" s="8"/>
      <c r="BH3" s="8"/>
      <c r="BI3" s="8"/>
      <c r="BJ3" s="8"/>
      <c r="BK3" s="288" t="b">
        <f>K3=SUM(AH3:BJ3)</f>
        <v>1</v>
      </c>
      <c r="BN3" s="360">
        <f>$U3*AH3</f>
        <v>0</v>
      </c>
      <c r="BO3" s="360">
        <f>$V3*AH3</f>
        <v>0</v>
      </c>
      <c r="BP3" s="360">
        <f>$W3*AH3</f>
        <v>0</v>
      </c>
      <c r="BQ3" s="360">
        <f>$X3*AH3</f>
        <v>0</v>
      </c>
      <c r="BR3" s="360">
        <f>$Y3*AH3</f>
        <v>0</v>
      </c>
      <c r="BS3" s="360">
        <f>$Z3*AH3</f>
        <v>0</v>
      </c>
      <c r="BT3" s="360">
        <f>$U3*AI3</f>
        <v>0</v>
      </c>
      <c r="BU3" s="360">
        <f>$V3*AI3</f>
        <v>0</v>
      </c>
      <c r="BV3" s="360">
        <f>$W3*AI3</f>
        <v>0</v>
      </c>
      <c r="BW3" s="360">
        <f>$X3*AI3</f>
        <v>0</v>
      </c>
      <c r="BX3" s="360">
        <f>$Y3*AI3</f>
        <v>0</v>
      </c>
      <c r="BY3" s="360">
        <f>$Z3*AI3</f>
        <v>0</v>
      </c>
      <c r="BZ3" s="360">
        <f>$U3*AJ3</f>
        <v>0</v>
      </c>
      <c r="CA3" s="360">
        <f>$V3*AJ3</f>
        <v>0</v>
      </c>
      <c r="CB3" s="360">
        <f>$W3*AJ3</f>
        <v>0</v>
      </c>
      <c r="CC3" s="360">
        <f>$X3*AJ3</f>
        <v>0</v>
      </c>
      <c r="CD3" s="360">
        <f>$Y3*AJ3</f>
        <v>0</v>
      </c>
      <c r="CE3" s="360">
        <f>$Z3*AJ3</f>
        <v>0</v>
      </c>
      <c r="CF3" s="360">
        <f>$U3*AK3</f>
        <v>0</v>
      </c>
      <c r="CG3" s="360">
        <f>$V3*AK3</f>
        <v>0</v>
      </c>
      <c r="CH3" s="360">
        <f>$W3*AK3</f>
        <v>0</v>
      </c>
      <c r="CI3" s="360">
        <f>$X3*AK3</f>
        <v>0</v>
      </c>
      <c r="CJ3" s="360">
        <f>$Y3*AK3</f>
        <v>0</v>
      </c>
      <c r="CK3" s="360">
        <f>$Z3*AK3</f>
        <v>0</v>
      </c>
      <c r="CL3" s="360">
        <f>$U3*AL3</f>
        <v>0</v>
      </c>
      <c r="CM3" s="360">
        <f>$V3*AL3</f>
        <v>0</v>
      </c>
      <c r="CN3" s="360">
        <f>$W3*AL3</f>
        <v>0</v>
      </c>
      <c r="CO3" s="360">
        <f>$X3*AL3</f>
        <v>0</v>
      </c>
      <c r="CP3" s="360">
        <f>$Y3*AL3</f>
        <v>0</v>
      </c>
      <c r="CQ3" s="360">
        <f>$Z3*AL3</f>
        <v>0</v>
      </c>
      <c r="CR3" s="360">
        <f>$U3*AM3</f>
        <v>0</v>
      </c>
      <c r="CS3" s="360">
        <f>$V3*AM3</f>
        <v>0</v>
      </c>
      <c r="CT3" s="360">
        <f>$W3*AM3</f>
        <v>9363328</v>
      </c>
      <c r="CU3" s="360">
        <f>$X3*AM3</f>
        <v>0</v>
      </c>
      <c r="CV3" s="360">
        <f>$Y3*AM3</f>
        <v>0</v>
      </c>
      <c r="CW3" s="360">
        <f>$Z3*AM3</f>
        <v>0</v>
      </c>
      <c r="CX3" s="360">
        <f>$U3*AN3</f>
        <v>0</v>
      </c>
      <c r="CY3" s="360">
        <f>$V3*AN3</f>
        <v>0</v>
      </c>
      <c r="CZ3" s="360">
        <f>$W3*AN3</f>
        <v>1652352</v>
      </c>
      <c r="DA3" s="360">
        <f>$X3*AN3</f>
        <v>0</v>
      </c>
      <c r="DB3" s="360">
        <f>$Y3*AN3</f>
        <v>0</v>
      </c>
      <c r="DC3" s="360">
        <f>$Z3*AN3</f>
        <v>0</v>
      </c>
      <c r="DD3" s="360">
        <f>$U3*AO3</f>
        <v>0</v>
      </c>
      <c r="DE3" s="360">
        <f>$V3*AO3</f>
        <v>0</v>
      </c>
      <c r="DF3" s="360">
        <f>$W3*AO3</f>
        <v>0</v>
      </c>
      <c r="DG3" s="360">
        <f>$X3*AO3</f>
        <v>0</v>
      </c>
      <c r="DH3" s="360">
        <f>$Y3*AO3</f>
        <v>0</v>
      </c>
      <c r="DI3" s="360">
        <f>$Z3*AO3</f>
        <v>0</v>
      </c>
    </row>
    <row r="4" spans="1:113" s="4" customFormat="1" ht="14" x14ac:dyDescent="0.3">
      <c r="G4" s="353">
        <f>SUM(G2:G3)</f>
        <v>21031680</v>
      </c>
      <c r="H4" s="5"/>
      <c r="I4" s="353">
        <f>SUM(I2:I3)</f>
        <v>0</v>
      </c>
      <c r="J4" s="353">
        <f>SUM(J2:J3)</f>
        <v>21031680</v>
      </c>
      <c r="K4" s="353">
        <f>SUM(K2:K3)</f>
        <v>21031680</v>
      </c>
      <c r="L4" s="5"/>
      <c r="M4" s="353">
        <f>SUM(M2:M3)</f>
        <v>0</v>
      </c>
      <c r="AG4" s="352" t="s">
        <v>15</v>
      </c>
      <c r="AH4" s="353">
        <f t="shared" ref="AH4:BJ4" si="0">SUM(AH2:AH3)</f>
        <v>1045075.1252086811</v>
      </c>
      <c r="AI4" s="353">
        <f t="shared" si="0"/>
        <v>3622927.1007234277</v>
      </c>
      <c r="AJ4" s="353">
        <f t="shared" si="0"/>
        <v>1463105.1752921536</v>
      </c>
      <c r="AK4" s="353">
        <f t="shared" si="0"/>
        <v>1124500.8347245408</v>
      </c>
      <c r="AL4" s="353">
        <f t="shared" si="0"/>
        <v>1854659.9888703395</v>
      </c>
      <c r="AM4" s="353">
        <f t="shared" si="0"/>
        <v>9363328</v>
      </c>
      <c r="AN4" s="353">
        <f t="shared" si="0"/>
        <v>1652352</v>
      </c>
      <c r="AO4" s="353">
        <f t="shared" si="0"/>
        <v>905731.77518085693</v>
      </c>
      <c r="AP4" s="353">
        <f t="shared" si="0"/>
        <v>0</v>
      </c>
      <c r="AQ4" s="353">
        <f t="shared" si="0"/>
        <v>0</v>
      </c>
      <c r="AR4" s="353">
        <f t="shared" si="0"/>
        <v>0</v>
      </c>
      <c r="AS4" s="353">
        <f t="shared" si="0"/>
        <v>0</v>
      </c>
      <c r="AT4" s="353">
        <f t="shared" si="0"/>
        <v>0</v>
      </c>
      <c r="AU4" s="353">
        <f t="shared" si="0"/>
        <v>0</v>
      </c>
      <c r="AV4" s="353">
        <f t="shared" si="0"/>
        <v>0</v>
      </c>
      <c r="AW4" s="353">
        <f t="shared" si="0"/>
        <v>0</v>
      </c>
      <c r="AX4" s="353">
        <f t="shared" si="0"/>
        <v>0</v>
      </c>
      <c r="AY4" s="353">
        <f t="shared" si="0"/>
        <v>0</v>
      </c>
      <c r="AZ4" s="353">
        <f t="shared" si="0"/>
        <v>0</v>
      </c>
      <c r="BA4" s="353">
        <f t="shared" si="0"/>
        <v>0</v>
      </c>
      <c r="BB4" s="353">
        <f t="shared" si="0"/>
        <v>0</v>
      </c>
      <c r="BC4" s="353">
        <f t="shared" si="0"/>
        <v>0</v>
      </c>
      <c r="BD4" s="353">
        <f t="shared" si="0"/>
        <v>0</v>
      </c>
      <c r="BE4" s="353">
        <f t="shared" si="0"/>
        <v>0</v>
      </c>
      <c r="BF4" s="353">
        <f t="shared" si="0"/>
        <v>0</v>
      </c>
      <c r="BG4" s="353">
        <f t="shared" si="0"/>
        <v>0</v>
      </c>
      <c r="BH4" s="353">
        <f t="shared" si="0"/>
        <v>0</v>
      </c>
      <c r="BI4" s="353">
        <f t="shared" si="0"/>
        <v>0</v>
      </c>
      <c r="BJ4" s="353">
        <f t="shared" si="0"/>
        <v>0</v>
      </c>
      <c r="BM4" s="352" t="s">
        <v>15</v>
      </c>
      <c r="BN4" s="353">
        <f t="shared" ref="BN4:DI4" si="1">SUM(BN2:BN3)</f>
        <v>0</v>
      </c>
      <c r="BO4" s="353">
        <f t="shared" si="1"/>
        <v>1045075.1252086811</v>
      </c>
      <c r="BP4" s="353">
        <f t="shared" si="1"/>
        <v>0</v>
      </c>
      <c r="BQ4" s="353">
        <f t="shared" si="1"/>
        <v>0</v>
      </c>
      <c r="BR4" s="353">
        <f t="shared" si="1"/>
        <v>0</v>
      </c>
      <c r="BS4" s="353">
        <f t="shared" si="1"/>
        <v>0</v>
      </c>
      <c r="BT4" s="353">
        <f t="shared" si="1"/>
        <v>0</v>
      </c>
      <c r="BU4" s="353">
        <f t="shared" si="1"/>
        <v>3622927.1007234277</v>
      </c>
      <c r="BV4" s="353">
        <f t="shared" si="1"/>
        <v>0</v>
      </c>
      <c r="BW4" s="353">
        <f t="shared" si="1"/>
        <v>0</v>
      </c>
      <c r="BX4" s="353">
        <f t="shared" si="1"/>
        <v>0</v>
      </c>
      <c r="BY4" s="353">
        <f t="shared" si="1"/>
        <v>0</v>
      </c>
      <c r="BZ4" s="353">
        <f t="shared" si="1"/>
        <v>0</v>
      </c>
      <c r="CA4" s="353">
        <f t="shared" si="1"/>
        <v>1463105.1752921536</v>
      </c>
      <c r="CB4" s="353">
        <f t="shared" si="1"/>
        <v>0</v>
      </c>
      <c r="CC4" s="353">
        <f t="shared" si="1"/>
        <v>0</v>
      </c>
      <c r="CD4" s="353">
        <f t="shared" si="1"/>
        <v>0</v>
      </c>
      <c r="CE4" s="353">
        <f t="shared" si="1"/>
        <v>0</v>
      </c>
      <c r="CF4" s="353">
        <f t="shared" si="1"/>
        <v>0</v>
      </c>
      <c r="CG4" s="353">
        <f t="shared" si="1"/>
        <v>1124500.8347245408</v>
      </c>
      <c r="CH4" s="353">
        <f t="shared" si="1"/>
        <v>0</v>
      </c>
      <c r="CI4" s="353">
        <f t="shared" si="1"/>
        <v>0</v>
      </c>
      <c r="CJ4" s="353">
        <f t="shared" si="1"/>
        <v>0</v>
      </c>
      <c r="CK4" s="353">
        <f t="shared" si="1"/>
        <v>0</v>
      </c>
      <c r="CL4" s="353">
        <f t="shared" si="1"/>
        <v>0</v>
      </c>
      <c r="CM4" s="353">
        <f t="shared" si="1"/>
        <v>1854659.9888703395</v>
      </c>
      <c r="CN4" s="353">
        <f t="shared" si="1"/>
        <v>0</v>
      </c>
      <c r="CO4" s="353">
        <f t="shared" si="1"/>
        <v>0</v>
      </c>
      <c r="CP4" s="353">
        <f t="shared" si="1"/>
        <v>0</v>
      </c>
      <c r="CQ4" s="353">
        <f t="shared" si="1"/>
        <v>0</v>
      </c>
      <c r="CR4" s="353">
        <f t="shared" si="1"/>
        <v>0</v>
      </c>
      <c r="CS4" s="353">
        <f t="shared" si="1"/>
        <v>0</v>
      </c>
      <c r="CT4" s="353">
        <f t="shared" si="1"/>
        <v>9363328</v>
      </c>
      <c r="CU4" s="353">
        <f t="shared" si="1"/>
        <v>0</v>
      </c>
      <c r="CV4" s="353">
        <f t="shared" si="1"/>
        <v>0</v>
      </c>
      <c r="CW4" s="353">
        <f t="shared" si="1"/>
        <v>0</v>
      </c>
      <c r="CX4" s="353">
        <f t="shared" si="1"/>
        <v>0</v>
      </c>
      <c r="CY4" s="353">
        <f t="shared" si="1"/>
        <v>0</v>
      </c>
      <c r="CZ4" s="353">
        <f t="shared" si="1"/>
        <v>1652352</v>
      </c>
      <c r="DA4" s="353">
        <f t="shared" si="1"/>
        <v>0</v>
      </c>
      <c r="DB4" s="353">
        <f t="shared" si="1"/>
        <v>0</v>
      </c>
      <c r="DC4" s="353">
        <f t="shared" si="1"/>
        <v>0</v>
      </c>
      <c r="DD4" s="353">
        <f t="shared" si="1"/>
        <v>0</v>
      </c>
      <c r="DE4" s="353">
        <f t="shared" si="1"/>
        <v>905731.77518085693</v>
      </c>
      <c r="DF4" s="353">
        <f t="shared" si="1"/>
        <v>0</v>
      </c>
      <c r="DG4" s="353">
        <f t="shared" si="1"/>
        <v>0</v>
      </c>
      <c r="DH4" s="353">
        <f t="shared" si="1"/>
        <v>0</v>
      </c>
      <c r="DI4" s="353">
        <f t="shared" si="1"/>
        <v>0</v>
      </c>
    </row>
    <row r="5" spans="1:113" s="4" customFormat="1" ht="14" x14ac:dyDescent="0.3">
      <c r="K5" s="58"/>
    </row>
    <row r="6" spans="1:113" s="4" customFormat="1" ht="14" x14ac:dyDescent="0.3">
      <c r="K6" s="58"/>
      <c r="AG6" s="352" t="s">
        <v>433</v>
      </c>
      <c r="AH6" s="355">
        <f t="shared" ref="AH6:BJ6" si="2">AH4*0.2</f>
        <v>209015.02504173623</v>
      </c>
      <c r="AI6" s="355">
        <f t="shared" si="2"/>
        <v>724585.42014468554</v>
      </c>
      <c r="AJ6" s="355">
        <f t="shared" si="2"/>
        <v>292621.03505843075</v>
      </c>
      <c r="AK6" s="355">
        <f t="shared" si="2"/>
        <v>224900.16694490818</v>
      </c>
      <c r="AL6" s="355">
        <f t="shared" si="2"/>
        <v>370931.99777406792</v>
      </c>
      <c r="AM6" s="355">
        <f t="shared" si="2"/>
        <v>1872665.6000000001</v>
      </c>
      <c r="AN6" s="355">
        <f t="shared" si="2"/>
        <v>330470.40000000002</v>
      </c>
      <c r="AO6" s="355">
        <f t="shared" si="2"/>
        <v>181146.35503617139</v>
      </c>
      <c r="AP6" s="355">
        <f t="shared" si="2"/>
        <v>0</v>
      </c>
      <c r="AQ6" s="355">
        <f t="shared" si="2"/>
        <v>0</v>
      </c>
      <c r="AR6" s="355">
        <f t="shared" si="2"/>
        <v>0</v>
      </c>
      <c r="AS6" s="355">
        <f t="shared" si="2"/>
        <v>0</v>
      </c>
      <c r="AT6" s="355">
        <f t="shared" si="2"/>
        <v>0</v>
      </c>
      <c r="AU6" s="355">
        <f t="shared" si="2"/>
        <v>0</v>
      </c>
      <c r="AV6" s="355">
        <f t="shared" si="2"/>
        <v>0</v>
      </c>
      <c r="AW6" s="355">
        <f t="shared" si="2"/>
        <v>0</v>
      </c>
      <c r="AX6" s="355">
        <f t="shared" si="2"/>
        <v>0</v>
      </c>
      <c r="AY6" s="355">
        <f t="shared" si="2"/>
        <v>0</v>
      </c>
      <c r="AZ6" s="355">
        <f t="shared" si="2"/>
        <v>0</v>
      </c>
      <c r="BA6" s="355">
        <f t="shared" si="2"/>
        <v>0</v>
      </c>
      <c r="BB6" s="355">
        <f t="shared" si="2"/>
        <v>0</v>
      </c>
      <c r="BC6" s="355">
        <f t="shared" si="2"/>
        <v>0</v>
      </c>
      <c r="BD6" s="355">
        <f t="shared" si="2"/>
        <v>0</v>
      </c>
      <c r="BE6" s="355">
        <f t="shared" si="2"/>
        <v>0</v>
      </c>
      <c r="BF6" s="355">
        <f t="shared" si="2"/>
        <v>0</v>
      </c>
      <c r="BG6" s="355">
        <f t="shared" si="2"/>
        <v>0</v>
      </c>
      <c r="BH6" s="355">
        <f t="shared" si="2"/>
        <v>0</v>
      </c>
      <c r="BI6" s="355">
        <f t="shared" si="2"/>
        <v>0</v>
      </c>
      <c r="BJ6" s="355">
        <f t="shared" si="2"/>
        <v>0</v>
      </c>
      <c r="BM6" s="352" t="s">
        <v>433</v>
      </c>
      <c r="BN6" s="355">
        <f t="shared" ref="BN6:DI6" si="3">BN4*0.2</f>
        <v>0</v>
      </c>
      <c r="BO6" s="355">
        <f t="shared" si="3"/>
        <v>209015.02504173623</v>
      </c>
      <c r="BP6" s="355">
        <f t="shared" si="3"/>
        <v>0</v>
      </c>
      <c r="BQ6" s="355">
        <f t="shared" si="3"/>
        <v>0</v>
      </c>
      <c r="BR6" s="355">
        <f t="shared" si="3"/>
        <v>0</v>
      </c>
      <c r="BS6" s="355">
        <f t="shared" si="3"/>
        <v>0</v>
      </c>
      <c r="BT6" s="355">
        <f t="shared" si="3"/>
        <v>0</v>
      </c>
      <c r="BU6" s="355">
        <f t="shared" si="3"/>
        <v>724585.42014468554</v>
      </c>
      <c r="BV6" s="355">
        <f t="shared" si="3"/>
        <v>0</v>
      </c>
      <c r="BW6" s="355">
        <f t="shared" si="3"/>
        <v>0</v>
      </c>
      <c r="BX6" s="355">
        <f t="shared" si="3"/>
        <v>0</v>
      </c>
      <c r="BY6" s="355">
        <f t="shared" si="3"/>
        <v>0</v>
      </c>
      <c r="BZ6" s="355">
        <f t="shared" si="3"/>
        <v>0</v>
      </c>
      <c r="CA6" s="355">
        <f t="shared" si="3"/>
        <v>292621.03505843075</v>
      </c>
      <c r="CB6" s="355">
        <f t="shared" si="3"/>
        <v>0</v>
      </c>
      <c r="CC6" s="355">
        <f t="shared" si="3"/>
        <v>0</v>
      </c>
      <c r="CD6" s="355">
        <f t="shared" si="3"/>
        <v>0</v>
      </c>
      <c r="CE6" s="355">
        <f t="shared" si="3"/>
        <v>0</v>
      </c>
      <c r="CF6" s="355">
        <f t="shared" si="3"/>
        <v>0</v>
      </c>
      <c r="CG6" s="355">
        <f t="shared" si="3"/>
        <v>224900.16694490818</v>
      </c>
      <c r="CH6" s="355">
        <f t="shared" si="3"/>
        <v>0</v>
      </c>
      <c r="CI6" s="355">
        <f t="shared" si="3"/>
        <v>0</v>
      </c>
      <c r="CJ6" s="355">
        <f t="shared" si="3"/>
        <v>0</v>
      </c>
      <c r="CK6" s="355">
        <f t="shared" si="3"/>
        <v>0</v>
      </c>
      <c r="CL6" s="355">
        <f t="shared" si="3"/>
        <v>0</v>
      </c>
      <c r="CM6" s="355">
        <f t="shared" si="3"/>
        <v>370931.99777406792</v>
      </c>
      <c r="CN6" s="355">
        <f t="shared" si="3"/>
        <v>0</v>
      </c>
      <c r="CO6" s="355">
        <f t="shared" si="3"/>
        <v>0</v>
      </c>
      <c r="CP6" s="355">
        <f t="shared" si="3"/>
        <v>0</v>
      </c>
      <c r="CQ6" s="355">
        <f t="shared" si="3"/>
        <v>0</v>
      </c>
      <c r="CR6" s="355">
        <f t="shared" si="3"/>
        <v>0</v>
      </c>
      <c r="CS6" s="355">
        <f t="shared" si="3"/>
        <v>0</v>
      </c>
      <c r="CT6" s="355">
        <f t="shared" si="3"/>
        <v>1872665.6000000001</v>
      </c>
      <c r="CU6" s="355">
        <f t="shared" si="3"/>
        <v>0</v>
      </c>
      <c r="CV6" s="355">
        <f t="shared" si="3"/>
        <v>0</v>
      </c>
      <c r="CW6" s="355">
        <f t="shared" si="3"/>
        <v>0</v>
      </c>
      <c r="CX6" s="355">
        <f t="shared" si="3"/>
        <v>0</v>
      </c>
      <c r="CY6" s="355">
        <f t="shared" si="3"/>
        <v>0</v>
      </c>
      <c r="CZ6" s="355">
        <f t="shared" si="3"/>
        <v>330470.40000000002</v>
      </c>
      <c r="DA6" s="355">
        <f t="shared" si="3"/>
        <v>0</v>
      </c>
      <c r="DB6" s="355">
        <f t="shared" si="3"/>
        <v>0</v>
      </c>
      <c r="DC6" s="355">
        <f t="shared" si="3"/>
        <v>0</v>
      </c>
      <c r="DD6" s="355">
        <f t="shared" si="3"/>
        <v>0</v>
      </c>
      <c r="DE6" s="355">
        <f t="shared" si="3"/>
        <v>181146.35503617139</v>
      </c>
      <c r="DF6" s="355">
        <f t="shared" si="3"/>
        <v>0</v>
      </c>
      <c r="DG6" s="355">
        <f t="shared" si="3"/>
        <v>0</v>
      </c>
      <c r="DH6" s="355">
        <f t="shared" si="3"/>
        <v>0</v>
      </c>
      <c r="DI6" s="355">
        <f t="shared" si="3"/>
        <v>0</v>
      </c>
    </row>
    <row r="7" spans="1:113" s="4" customFormat="1" ht="14" x14ac:dyDescent="0.3">
      <c r="K7" s="58"/>
    </row>
    <row r="8" spans="1:113" s="4" customFormat="1" thickBot="1" x14ac:dyDescent="0.35">
      <c r="K8" s="58"/>
      <c r="AG8" s="352" t="s">
        <v>434</v>
      </c>
      <c r="AH8" s="110">
        <f>SUM(AH4:AH6)</f>
        <v>1254090.1502504174</v>
      </c>
      <c r="AI8" s="110">
        <f t="shared" ref="AI8:BJ8" si="4">SUM(AI4:AI6)</f>
        <v>4347512.5208681133</v>
      </c>
      <c r="AJ8" s="110">
        <f t="shared" si="4"/>
        <v>1755726.2103505842</v>
      </c>
      <c r="AK8" s="110">
        <f t="shared" si="4"/>
        <v>1349401.001669449</v>
      </c>
      <c r="AL8" s="110">
        <f t="shared" si="4"/>
        <v>2225591.9866444073</v>
      </c>
      <c r="AM8" s="110">
        <f t="shared" si="4"/>
        <v>11235993.6</v>
      </c>
      <c r="AN8" s="110">
        <f t="shared" si="4"/>
        <v>1982822.3999999999</v>
      </c>
      <c r="AO8" s="110">
        <f t="shared" si="4"/>
        <v>1086878.1302170283</v>
      </c>
      <c r="AP8" s="110">
        <f t="shared" si="4"/>
        <v>0</v>
      </c>
      <c r="AQ8" s="110">
        <f t="shared" si="4"/>
        <v>0</v>
      </c>
      <c r="AR8" s="110">
        <f t="shared" si="4"/>
        <v>0</v>
      </c>
      <c r="AS8" s="110">
        <f t="shared" si="4"/>
        <v>0</v>
      </c>
      <c r="AT8" s="110">
        <f t="shared" si="4"/>
        <v>0</v>
      </c>
      <c r="AU8" s="110">
        <f t="shared" si="4"/>
        <v>0</v>
      </c>
      <c r="AV8" s="110">
        <f t="shared" si="4"/>
        <v>0</v>
      </c>
      <c r="AW8" s="110">
        <f t="shared" si="4"/>
        <v>0</v>
      </c>
      <c r="AX8" s="110">
        <f t="shared" si="4"/>
        <v>0</v>
      </c>
      <c r="AY8" s="110">
        <f t="shared" si="4"/>
        <v>0</v>
      </c>
      <c r="AZ8" s="110">
        <f t="shared" si="4"/>
        <v>0</v>
      </c>
      <c r="BA8" s="110">
        <f t="shared" si="4"/>
        <v>0</v>
      </c>
      <c r="BB8" s="110">
        <f t="shared" si="4"/>
        <v>0</v>
      </c>
      <c r="BC8" s="110">
        <f t="shared" si="4"/>
        <v>0</v>
      </c>
      <c r="BD8" s="110">
        <f t="shared" si="4"/>
        <v>0</v>
      </c>
      <c r="BE8" s="110">
        <f t="shared" si="4"/>
        <v>0</v>
      </c>
      <c r="BF8" s="110">
        <f t="shared" si="4"/>
        <v>0</v>
      </c>
      <c r="BG8" s="110">
        <f t="shared" si="4"/>
        <v>0</v>
      </c>
      <c r="BH8" s="110">
        <f t="shared" si="4"/>
        <v>0</v>
      </c>
      <c r="BI8" s="110">
        <f t="shared" si="4"/>
        <v>0</v>
      </c>
      <c r="BJ8" s="110">
        <f t="shared" si="4"/>
        <v>0</v>
      </c>
      <c r="BM8" s="352" t="s">
        <v>434</v>
      </c>
      <c r="BN8" s="110">
        <f>SUM(BN4:BN6)</f>
        <v>0</v>
      </c>
      <c r="BO8" s="110">
        <f t="shared" ref="BO8:DI8" si="5">SUM(BO4:BO6)</f>
        <v>1254090.1502504174</v>
      </c>
      <c r="BP8" s="110">
        <f t="shared" si="5"/>
        <v>0</v>
      </c>
      <c r="BQ8" s="110">
        <f t="shared" si="5"/>
        <v>0</v>
      </c>
      <c r="BR8" s="110">
        <f t="shared" si="5"/>
        <v>0</v>
      </c>
      <c r="BS8" s="110">
        <f t="shared" si="5"/>
        <v>0</v>
      </c>
      <c r="BT8" s="110">
        <f t="shared" si="5"/>
        <v>0</v>
      </c>
      <c r="BU8" s="110">
        <f t="shared" si="5"/>
        <v>4347512.5208681133</v>
      </c>
      <c r="BV8" s="110">
        <f t="shared" si="5"/>
        <v>0</v>
      </c>
      <c r="BW8" s="110">
        <f t="shared" si="5"/>
        <v>0</v>
      </c>
      <c r="BX8" s="110">
        <f t="shared" si="5"/>
        <v>0</v>
      </c>
      <c r="BY8" s="110">
        <f t="shared" si="5"/>
        <v>0</v>
      </c>
      <c r="BZ8" s="110">
        <f t="shared" si="5"/>
        <v>0</v>
      </c>
      <c r="CA8" s="110">
        <f t="shared" si="5"/>
        <v>1755726.2103505842</v>
      </c>
      <c r="CB8" s="110">
        <f t="shared" si="5"/>
        <v>0</v>
      </c>
      <c r="CC8" s="110">
        <f t="shared" si="5"/>
        <v>0</v>
      </c>
      <c r="CD8" s="110">
        <f t="shared" si="5"/>
        <v>0</v>
      </c>
      <c r="CE8" s="110">
        <f t="shared" si="5"/>
        <v>0</v>
      </c>
      <c r="CF8" s="110">
        <f t="shared" si="5"/>
        <v>0</v>
      </c>
      <c r="CG8" s="110">
        <f t="shared" si="5"/>
        <v>1349401.001669449</v>
      </c>
      <c r="CH8" s="110">
        <f t="shared" si="5"/>
        <v>0</v>
      </c>
      <c r="CI8" s="110">
        <f t="shared" si="5"/>
        <v>0</v>
      </c>
      <c r="CJ8" s="110">
        <f t="shared" si="5"/>
        <v>0</v>
      </c>
      <c r="CK8" s="110">
        <f t="shared" si="5"/>
        <v>0</v>
      </c>
      <c r="CL8" s="110">
        <f t="shared" si="5"/>
        <v>0</v>
      </c>
      <c r="CM8" s="110">
        <f t="shared" si="5"/>
        <v>2225591.9866444073</v>
      </c>
      <c r="CN8" s="110">
        <f t="shared" si="5"/>
        <v>0</v>
      </c>
      <c r="CO8" s="110">
        <f t="shared" si="5"/>
        <v>0</v>
      </c>
      <c r="CP8" s="110">
        <f t="shared" si="5"/>
        <v>0</v>
      </c>
      <c r="CQ8" s="110">
        <f t="shared" si="5"/>
        <v>0</v>
      </c>
      <c r="CR8" s="110">
        <f t="shared" si="5"/>
        <v>0</v>
      </c>
      <c r="CS8" s="110">
        <f t="shared" si="5"/>
        <v>0</v>
      </c>
      <c r="CT8" s="110">
        <f t="shared" si="5"/>
        <v>11235993.6</v>
      </c>
      <c r="CU8" s="110">
        <f t="shared" si="5"/>
        <v>0</v>
      </c>
      <c r="CV8" s="110">
        <f t="shared" si="5"/>
        <v>0</v>
      </c>
      <c r="CW8" s="110">
        <f t="shared" si="5"/>
        <v>0</v>
      </c>
      <c r="CX8" s="110">
        <f t="shared" si="5"/>
        <v>0</v>
      </c>
      <c r="CY8" s="110">
        <f t="shared" si="5"/>
        <v>0</v>
      </c>
      <c r="CZ8" s="110">
        <f t="shared" si="5"/>
        <v>1982822.3999999999</v>
      </c>
      <c r="DA8" s="110">
        <f t="shared" si="5"/>
        <v>0</v>
      </c>
      <c r="DB8" s="110">
        <f t="shared" si="5"/>
        <v>0</v>
      </c>
      <c r="DC8" s="110">
        <f t="shared" si="5"/>
        <v>0</v>
      </c>
      <c r="DD8" s="110">
        <f t="shared" si="5"/>
        <v>0</v>
      </c>
      <c r="DE8" s="110">
        <f t="shared" si="5"/>
        <v>1086878.1302170283</v>
      </c>
      <c r="DF8" s="110">
        <f t="shared" si="5"/>
        <v>0</v>
      </c>
      <c r="DG8" s="110">
        <f t="shared" si="5"/>
        <v>0</v>
      </c>
      <c r="DH8" s="110">
        <f t="shared" si="5"/>
        <v>0</v>
      </c>
      <c r="DI8" s="110">
        <f t="shared" si="5"/>
        <v>0</v>
      </c>
    </row>
    <row r="9" spans="1:113" s="348" customFormat="1" thickTop="1" x14ac:dyDescent="0.35">
      <c r="B9" s="407"/>
      <c r="G9" s="408"/>
      <c r="H9" s="409"/>
      <c r="I9" s="408"/>
      <c r="J9" s="408"/>
      <c r="K9" s="408"/>
      <c r="L9" s="408"/>
      <c r="M9" s="408"/>
      <c r="BS9" s="351">
        <f>SUM(BN8:BS8)</f>
        <v>1254090.1502504174</v>
      </c>
      <c r="BY9" s="351">
        <f>SUM(BT8:BY8)</f>
        <v>4347512.5208681133</v>
      </c>
      <c r="CE9" s="351">
        <f>SUM(BZ8:CE8)</f>
        <v>1755726.2103505842</v>
      </c>
      <c r="CK9" s="351">
        <f>SUM(CF8:CK8)</f>
        <v>1349401.001669449</v>
      </c>
      <c r="CQ9" s="351">
        <f>SUM(CL8:CQ8)</f>
        <v>2225591.9866444073</v>
      </c>
      <c r="CW9" s="351">
        <f>SUM(CR8:CW8)</f>
        <v>11235993.6</v>
      </c>
      <c r="DC9" s="351">
        <f>SUM(CX8:DC8)</f>
        <v>1982822.3999999999</v>
      </c>
      <c r="DI9" s="351">
        <f>SUM(DD8:DI8)</f>
        <v>1086878.1302170283</v>
      </c>
    </row>
    <row r="10" spans="1:113" s="348" customFormat="1" ht="14" x14ac:dyDescent="0.35">
      <c r="B10" s="407"/>
      <c r="G10" s="408"/>
      <c r="H10" s="409"/>
      <c r="I10" s="408"/>
      <c r="J10" s="408"/>
      <c r="K10" s="408"/>
      <c r="L10" s="408"/>
      <c r="M10" s="408"/>
      <c r="BS10" s="350" t="b">
        <f>BS9=AH8</f>
        <v>1</v>
      </c>
      <c r="BY10" s="350" t="b">
        <f>BY9=AI8</f>
        <v>1</v>
      </c>
      <c r="CE10" s="350" t="b">
        <f>CE9=AJ8</f>
        <v>1</v>
      </c>
      <c r="CK10" s="350" t="b">
        <f>CK9=AK8</f>
        <v>1</v>
      </c>
      <c r="CQ10" s="350" t="b">
        <f>CQ9=AL8</f>
        <v>1</v>
      </c>
      <c r="CW10" s="350" t="b">
        <f>CW9=AM8</f>
        <v>1</v>
      </c>
      <c r="DC10" s="350" t="b">
        <f>DC9=AN8</f>
        <v>1</v>
      </c>
      <c r="DI10" s="350" t="b">
        <f>DI9=AO8</f>
        <v>1</v>
      </c>
    </row>
    <row r="11" spans="1:113" s="348" customFormat="1" ht="14" x14ac:dyDescent="0.35">
      <c r="B11" s="407"/>
      <c r="G11" s="408"/>
      <c r="H11" s="409"/>
      <c r="I11" s="408"/>
      <c r="J11" s="408"/>
      <c r="K11" s="408"/>
      <c r="L11" s="408"/>
      <c r="M11" s="408"/>
      <c r="AH11" s="278">
        <f>AH6/AH4</f>
        <v>0.2</v>
      </c>
      <c r="AI11" s="278">
        <f t="shared" ref="AI11:AN11" si="6">AI6/AI4</f>
        <v>0.2</v>
      </c>
      <c r="AJ11" s="278">
        <f t="shared" si="6"/>
        <v>0.2</v>
      </c>
      <c r="AK11" s="278">
        <f t="shared" si="6"/>
        <v>0.2</v>
      </c>
      <c r="AL11" s="278">
        <f t="shared" si="6"/>
        <v>0.2</v>
      </c>
      <c r="AM11" s="278">
        <f t="shared" si="6"/>
        <v>0.2</v>
      </c>
      <c r="AN11" s="278">
        <f t="shared" si="6"/>
        <v>0.2</v>
      </c>
    </row>
    <row r="12" spans="1:113" s="348" customFormat="1" ht="14" x14ac:dyDescent="0.35">
      <c r="B12" s="407"/>
      <c r="G12" s="408"/>
      <c r="H12" s="409"/>
      <c r="I12" s="408"/>
      <c r="J12" s="408"/>
      <c r="K12" s="408"/>
      <c r="L12" s="408"/>
      <c r="M12" s="408"/>
    </row>
    <row r="13" spans="1:113" s="348" customFormat="1" ht="14" x14ac:dyDescent="0.35">
      <c r="B13" s="407"/>
      <c r="G13" s="408"/>
      <c r="H13" s="409"/>
      <c r="I13" s="408"/>
      <c r="J13" s="408"/>
      <c r="K13" s="408"/>
      <c r="L13" s="408"/>
      <c r="M13" s="408"/>
    </row>
    <row r="14" spans="1:113" s="348" customFormat="1" ht="14" x14ac:dyDescent="0.35">
      <c r="B14" s="407"/>
      <c r="G14" s="408"/>
      <c r="H14" s="409"/>
      <c r="I14" s="408"/>
      <c r="J14" s="408"/>
      <c r="K14" s="408"/>
      <c r="L14" s="408"/>
      <c r="M14" s="408"/>
    </row>
    <row r="15" spans="1:113" s="348" customFormat="1" ht="14" x14ac:dyDescent="0.35">
      <c r="B15" s="407"/>
      <c r="G15" s="408"/>
      <c r="H15" s="409"/>
      <c r="I15" s="408"/>
      <c r="J15" s="408"/>
      <c r="K15" s="408"/>
      <c r="L15" s="408"/>
      <c r="M15" s="408"/>
    </row>
    <row r="16" spans="1:113" s="348" customFormat="1" ht="14" x14ac:dyDescent="0.35">
      <c r="B16" s="407"/>
      <c r="G16" s="408"/>
      <c r="H16" s="409"/>
      <c r="I16" s="408"/>
      <c r="J16" s="408"/>
      <c r="K16" s="408"/>
      <c r="L16" s="408"/>
      <c r="M16" s="408"/>
    </row>
    <row r="17" spans="2:13" s="348" customFormat="1" ht="14" x14ac:dyDescent="0.35">
      <c r="B17" s="407"/>
      <c r="G17" s="408"/>
      <c r="H17" s="409"/>
      <c r="I17" s="408"/>
      <c r="J17" s="408"/>
      <c r="K17" s="408"/>
      <c r="L17" s="408"/>
      <c r="M17" s="408"/>
    </row>
    <row r="18" spans="2:13" s="348" customFormat="1" ht="14" x14ac:dyDescent="0.35">
      <c r="B18" s="407"/>
      <c r="G18" s="408"/>
      <c r="H18" s="409"/>
      <c r="I18" s="408"/>
      <c r="J18" s="408"/>
      <c r="K18" s="408"/>
      <c r="L18" s="408"/>
      <c r="M18" s="408"/>
    </row>
    <row r="19" spans="2:13" s="348" customFormat="1" ht="14" x14ac:dyDescent="0.35">
      <c r="B19" s="407"/>
      <c r="G19" s="408"/>
      <c r="H19" s="409"/>
      <c r="I19" s="408"/>
      <c r="J19" s="408"/>
      <c r="K19" s="408"/>
      <c r="L19" s="408"/>
      <c r="M19" s="408"/>
    </row>
    <row r="20" spans="2:13" s="348" customFormat="1" ht="14" x14ac:dyDescent="0.35">
      <c r="B20" s="407"/>
      <c r="G20" s="408"/>
      <c r="H20" s="409"/>
      <c r="I20" s="408"/>
      <c r="J20" s="408"/>
      <c r="K20" s="408"/>
      <c r="L20" s="408"/>
      <c r="M20" s="408"/>
    </row>
    <row r="21" spans="2:13" s="348" customFormat="1" ht="14" x14ac:dyDescent="0.35">
      <c r="B21" s="407"/>
      <c r="G21" s="408"/>
      <c r="H21" s="409"/>
      <c r="I21" s="408"/>
      <c r="J21" s="408"/>
      <c r="K21" s="408"/>
      <c r="L21" s="408"/>
      <c r="M21" s="408"/>
    </row>
    <row r="22" spans="2:13" s="348" customFormat="1" ht="14" x14ac:dyDescent="0.35">
      <c r="B22" s="407"/>
      <c r="G22" s="408"/>
      <c r="H22" s="409"/>
      <c r="I22" s="408"/>
      <c r="J22" s="408"/>
      <c r="K22" s="408"/>
      <c r="L22" s="408"/>
      <c r="M22" s="408"/>
    </row>
  </sheetData>
  <mergeCells count="8">
    <mergeCell ref="CX1:DC1"/>
    <mergeCell ref="DD1:DI1"/>
    <mergeCell ref="BN1:BS1"/>
    <mergeCell ref="BT1:BY1"/>
    <mergeCell ref="BZ1:CE1"/>
    <mergeCell ref="CF1:CK1"/>
    <mergeCell ref="CL1:CQ1"/>
    <mergeCell ref="CR1:CW1"/>
  </mergeCells>
  <conditionalFormatting sqref="D1">
    <cfRule type="containsText" dxfId="241" priority="33" operator="containsText" text="Critical">
      <formula>NOT(ISERROR(SEARCH("Critical",D1)))</formula>
    </cfRule>
    <cfRule type="containsText" dxfId="240" priority="25" operator="containsText" text="Critical">
      <formula>NOT(ISERROR(SEARCH("Critical",D1)))</formula>
    </cfRule>
    <cfRule type="containsText" dxfId="239" priority="34" operator="containsText" text="Essential">
      <formula>NOT(ISERROR(SEARCH("Essential",D1)))</formula>
    </cfRule>
    <cfRule type="containsText" dxfId="238" priority="35" operator="containsText" text="Desirable">
      <formula>NOT(ISERROR(SEARCH("Desirable",D1)))</formula>
    </cfRule>
  </conditionalFormatting>
  <conditionalFormatting sqref="D9:D22">
    <cfRule type="containsText" dxfId="237" priority="24" operator="containsText" text="Desirable">
      <formula>NOT(ISERROR(SEARCH("Desirable",D9)))</formula>
    </cfRule>
    <cfRule type="containsText" dxfId="236" priority="23" operator="containsText" text="Essential">
      <formula>NOT(ISERROR(SEARCH("Essential",D9)))</formula>
    </cfRule>
    <cfRule type="containsText" dxfId="235" priority="22" operator="containsText" text="Critical">
      <formula>NOT(ISERROR(SEARCH("Critical",D9)))</formula>
    </cfRule>
  </conditionalFormatting>
  <conditionalFormatting sqref="E2:E3">
    <cfRule type="containsText" dxfId="234" priority="45" operator="containsText" text="Desirable">
      <formula>NOT(ISERROR(SEARCH("Desirable",E2)))</formula>
    </cfRule>
    <cfRule type="containsText" dxfId="233" priority="43" operator="containsText" text="Critical">
      <formula>NOT(ISERROR(SEARCH("Critical",E2)))</formula>
    </cfRule>
    <cfRule type="containsText" dxfId="232" priority="44" operator="containsText" text="Essential">
      <formula>NOT(ISERROR(SEARCH("Essential",E2)))</formula>
    </cfRule>
  </conditionalFormatting>
  <conditionalFormatting sqref="N1:T1 AA1">
    <cfRule type="containsText" dxfId="231" priority="32" operator="containsText" text="0-5 years">
      <formula>NOT(ISERROR(SEARCH("0-5 years",N1)))</formula>
    </cfRule>
    <cfRule type="containsText" dxfId="230" priority="31" operator="containsText" text="0-20 years">
      <formula>NOT(ISERROR(SEARCH("0-20 years",N1)))</formula>
    </cfRule>
    <cfRule type="containsText" dxfId="229" priority="30" operator="containsText" text="5-10 years">
      <formula>NOT(ISERROR(SEARCH("5-10 years",N1)))</formula>
    </cfRule>
    <cfRule type="containsText" dxfId="228" priority="29" operator="containsText" text="10-15 years">
      <formula>NOT(ISERROR(SEARCH("10-15 years",N1)))</formula>
    </cfRule>
    <cfRule type="containsText" dxfId="227" priority="28" operator="containsText" text="15-20 years">
      <formula>NOT(ISERROR(SEARCH("15-20 years",N1)))</formula>
    </cfRule>
    <cfRule type="containsText" dxfId="226" priority="27" operator="containsText" text="unknown">
      <formula>NOT(ISERROR(SEARCH("unknown",N1)))</formula>
    </cfRule>
    <cfRule type="containsText" dxfId="225" priority="26" operator="containsText" text="20+">
      <formula>NOT(ISERROR(SEARCH("20+",N1)))</formula>
    </cfRule>
  </conditionalFormatting>
  <conditionalFormatting sqref="O9:AA22">
    <cfRule type="containsText" dxfId="224" priority="19" operator="containsText" text="5-10 years">
      <formula>NOT(ISERROR(SEARCH("5-10 years",O9)))</formula>
    </cfRule>
    <cfRule type="containsText" dxfId="223" priority="20" operator="containsText" text="0-20 years">
      <formula>NOT(ISERROR(SEARCH("0-20 years",O9)))</formula>
    </cfRule>
    <cfRule type="containsText" dxfId="222" priority="21" operator="containsText" text="0-5 years">
      <formula>NOT(ISERROR(SEARCH("0-5 years",O9)))</formula>
    </cfRule>
    <cfRule type="containsText" dxfId="221" priority="15" operator="containsText" text="20+">
      <formula>NOT(ISERROR(SEARCH("20+",O9)))</formula>
    </cfRule>
    <cfRule type="containsText" dxfId="220" priority="16" operator="containsText" text="unknown">
      <formula>NOT(ISERROR(SEARCH("unknown",O9)))</formula>
    </cfRule>
    <cfRule type="containsText" dxfId="219" priority="17" operator="containsText" text="15-20 years">
      <formula>NOT(ISERROR(SEARCH("15-20 years",O9)))</formula>
    </cfRule>
    <cfRule type="containsText" dxfId="218" priority="18" operator="containsText" text="10-15 years">
      <formula>NOT(ISERROR(SEARCH("10-15 years",O9)))</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0" operator="containsText" text="15-20 years" id="{33458BB2-A907-45C1-9752-794A4CEB9F76}">
            <xm:f>NOT(ISERROR(SEARCH("15-20 years",'K:\Projects\HGGT0003 - HGGT IDP Update 2021-22\[20190414_HGGT_IDP_2019_Schedule.xlsx]Utilities'!#REF!)))</xm:f>
            <x14:dxf>
              <fill>
                <patternFill>
                  <bgColor theme="3" tint="0.39994506668294322"/>
                </patternFill>
              </fill>
            </x14:dxf>
          </x14:cfRule>
          <x14:cfRule type="containsText" priority="9" operator="containsText" text="unknown" id="{310C4BF9-41D3-49DD-925F-224C172186B8}">
            <xm:f>NOT(ISERROR(SEARCH("unknown",'K:\Projects\HGGT0003 - HGGT IDP Update 2021-22\[20190414_HGGT_IDP_2019_Schedule.xlsx]Utilities'!#REF!)))</xm:f>
            <x14:dxf>
              <fill>
                <patternFill>
                  <bgColor theme="3" tint="0.79998168889431442"/>
                </patternFill>
              </fill>
            </x14:dxf>
          </x14:cfRule>
          <x14:cfRule type="containsText" priority="14" operator="containsText" text="0-5 years" id="{4D21AD57-C0C4-43DA-9933-DE7BFE447C20}">
            <xm:f>NOT(ISERROR(SEARCH("0-5 years",'K:\Projects\HGGT0003 - HGGT IDP Update 2021-22\[20190414_HGGT_IDP_2019_Schedule.xlsx]Utilities'!#REF!)))</xm:f>
            <x14:dxf>
              <fill>
                <patternFill>
                  <bgColor theme="4" tint="0.79998168889431442"/>
                </patternFill>
              </fill>
            </x14:dxf>
          </x14:cfRule>
          <x14:cfRule type="containsText" priority="13" operator="containsText" text="0-20 years" id="{35BD3BCA-B7DD-403D-A434-752EF1380E75}">
            <xm:f>NOT(ISERROR(SEARCH("0-20 years",'K:\Projects\HGGT0003 - HGGT IDP Update 2021-22\[20190414_HGGT_IDP_2019_Schedule.xlsx]Utilities'!#REF!)))</xm:f>
            <x14:dxf>
              <fill>
                <patternFill>
                  <bgColor theme="4" tint="0.59996337778862885"/>
                </patternFill>
              </fill>
            </x14:dxf>
          </x14:cfRule>
          <x14:cfRule type="containsText" priority="12" operator="containsText" text="5-10 years" id="{DB9767FC-F0C2-4CB7-8749-03A9997B5985}">
            <xm:f>NOT(ISERROR(SEARCH("5-10 years",'K:\Projects\HGGT0003 - HGGT IDP Update 2021-22\[20190414_HGGT_IDP_2019_Schedule.xlsx]Utilities'!#REF!)))</xm:f>
            <x14:dxf>
              <fill>
                <patternFill>
                  <bgColor theme="4" tint="0.39994506668294322"/>
                </patternFill>
              </fill>
            </x14:dxf>
          </x14:cfRule>
          <x14:cfRule type="containsText" priority="11" operator="containsText" text="10-15 years" id="{12D3ED28-672D-4618-B07F-C6928D27CDE9}">
            <xm:f>NOT(ISERROR(SEARCH("10-15 years",'K:\Projects\HGGT0003 - HGGT IDP Update 2021-22\[20190414_HGGT_IDP_2019_Schedule.xlsx]Utilities'!#REF!)))</xm:f>
            <x14:dxf>
              <fill>
                <patternFill>
                  <bgColor theme="4" tint="-0.24994659260841701"/>
                </patternFill>
              </fill>
            </x14:dxf>
          </x14:cfRule>
          <xm:sqref>U1:W1</xm:sqref>
        </x14:conditionalFormatting>
        <x14:conditionalFormatting xmlns:xm="http://schemas.microsoft.com/office/excel/2006/main">
          <x14:cfRule type="containsText" priority="1" operator="containsText" text="20+" id="{CD5AA57F-B009-473D-B093-4A731149FF07}">
            <xm:f>NOT(ISERROR(SEARCH("20+",'K:\Projects\HGGT0003 - HGGT IDP Update 2021-22\[20190414_HGGT_IDP_2019_Schedule.xlsx]Utilities'!#REF!)))</xm:f>
            <x14:dxf>
              <fill>
                <patternFill>
                  <bgColor theme="3" tint="0.59996337778862885"/>
                </patternFill>
              </fill>
            </x14:dxf>
          </x14:cfRule>
          <xm:sqref>U1:Z1</xm:sqref>
        </x14:conditionalFormatting>
        <x14:conditionalFormatting xmlns:xm="http://schemas.microsoft.com/office/excel/2006/main">
          <x14:cfRule type="containsText" priority="7" operator="containsText" text="0-5 years" id="{3C28A27C-3A7D-471E-AD77-33A0A65FA037}">
            <xm:f>NOT(ISERROR(SEARCH("0-5 years",'K:\Projects\HGGT0003 - HGGT IDP Update 2021-22\[20190414_HGGT_IDP_2019_Schedule.xlsx]Utilities'!#REF!)))</xm:f>
            <x14:dxf>
              <fill>
                <patternFill>
                  <bgColor theme="4" tint="0.79998168889431442"/>
                </patternFill>
              </fill>
            </x14:dxf>
          </x14:cfRule>
          <x14:cfRule type="containsText" priority="6" operator="containsText" text="0-20 years" id="{D49E9EF3-D95B-4D71-977D-205C8C631B85}">
            <xm:f>NOT(ISERROR(SEARCH("0-20 years",'K:\Projects\HGGT0003 - HGGT IDP Update 2021-22\[20190414_HGGT_IDP_2019_Schedule.xlsx]Utilities'!#REF!)))</xm:f>
            <x14:dxf>
              <fill>
                <patternFill>
                  <bgColor theme="4" tint="0.59996337778862885"/>
                </patternFill>
              </fill>
            </x14:dxf>
          </x14:cfRule>
          <x14:cfRule type="containsText" priority="5" operator="containsText" text="5-10 years" id="{EDC5A982-0D16-4199-9C66-6391A984BAFA}">
            <xm:f>NOT(ISERROR(SEARCH("5-10 years",'K:\Projects\HGGT0003 - HGGT IDP Update 2021-22\[20190414_HGGT_IDP_2019_Schedule.xlsx]Utilities'!#REF!)))</xm:f>
            <x14:dxf>
              <fill>
                <patternFill>
                  <bgColor theme="4" tint="0.39994506668294322"/>
                </patternFill>
              </fill>
            </x14:dxf>
          </x14:cfRule>
          <x14:cfRule type="containsText" priority="4" operator="containsText" text="10-15 years" id="{919B099A-3F41-4B44-9D19-672E414E5CC4}">
            <xm:f>NOT(ISERROR(SEARCH("10-15 years",'K:\Projects\HGGT0003 - HGGT IDP Update 2021-22\[20190414_HGGT_IDP_2019_Schedule.xlsx]Utilities'!#REF!)))</xm:f>
            <x14:dxf>
              <fill>
                <patternFill>
                  <bgColor theme="4" tint="-0.24994659260841701"/>
                </patternFill>
              </fill>
            </x14:dxf>
          </x14:cfRule>
          <x14:cfRule type="containsText" priority="3" operator="containsText" text="15-20 years" id="{AF65F32B-8122-4FEC-A725-564344A027C9}">
            <xm:f>NOT(ISERROR(SEARCH("15-20 years",'K:\Projects\HGGT0003 - HGGT IDP Update 2021-22\[20190414_HGGT_IDP_2019_Schedule.xlsx]Utilities'!#REF!)))</xm:f>
            <x14:dxf>
              <fill>
                <patternFill>
                  <bgColor theme="3" tint="0.39994506668294322"/>
                </patternFill>
              </fill>
            </x14:dxf>
          </x14:cfRule>
          <x14:cfRule type="containsText" priority="2" operator="containsText" text="unknown" id="{207B644F-F349-4A8A-B485-16FF804F062C}">
            <xm:f>NOT(ISERROR(SEARCH("unknown",'K:\Projects\HGGT0003 - HGGT IDP Update 2021-22\[20190414_HGGT_IDP_2019_Schedule.xlsx]Utilities'!#REF!)))</xm:f>
            <x14:dxf>
              <fill>
                <patternFill>
                  <bgColor theme="3" tint="0.79998168889431442"/>
                </patternFill>
              </fill>
            </x14:dxf>
          </x14:cfRule>
          <xm:sqref>X1:Z1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autoPageBreaks="0"/>
  </sheetPr>
  <dimension ref="B1:AP127"/>
  <sheetViews>
    <sheetView showGridLines="0" view="pageBreakPreview" topLeftCell="D1" zoomScale="80" zoomScaleNormal="60" zoomScaleSheetLayoutView="80" workbookViewId="0">
      <pane ySplit="4" topLeftCell="A49" activePane="bottomLeft" state="frozen"/>
      <selection pane="bottomLeft" activeCell="M54" sqref="M54"/>
    </sheetView>
  </sheetViews>
  <sheetFormatPr defaultColWidth="8.90625" defaultRowHeight="16.5" x14ac:dyDescent="0.35"/>
  <cols>
    <col min="1" max="1" width="3.90625" style="300" customWidth="1"/>
    <col min="2" max="2" width="5.90625" style="300" customWidth="1"/>
    <col min="3" max="3" width="44.453125" style="300" customWidth="1"/>
    <col min="4" max="6" width="20.90625" style="301" customWidth="1"/>
    <col min="7" max="7" width="20.90625" style="300" customWidth="1"/>
    <col min="8" max="8" width="20.90625" style="310" customWidth="1"/>
    <col min="9" max="13" width="20.90625" style="300" customWidth="1"/>
    <col min="14" max="14" width="20.90625" style="301" customWidth="1"/>
    <col min="15" max="28" width="20.90625" style="300" customWidth="1"/>
    <col min="29" max="29" width="20.90625" style="301" customWidth="1"/>
    <col min="30" max="30" width="20.90625" style="310" customWidth="1"/>
    <col min="31" max="32" width="20.90625" style="300" customWidth="1"/>
    <col min="33" max="34" width="20.90625" style="301" customWidth="1"/>
    <col min="35" max="35" width="8.90625" style="301" customWidth="1"/>
    <col min="36" max="36" width="44.453125" style="300" customWidth="1"/>
    <col min="37" max="37" width="3.90625" style="300" customWidth="1"/>
    <col min="38" max="38" width="8.90625" style="300"/>
    <col min="39" max="39" width="17.90625" style="300" customWidth="1"/>
    <col min="40" max="40" width="18.54296875" style="300" customWidth="1"/>
    <col min="41" max="41" width="19.453125" style="300" customWidth="1"/>
    <col min="42" max="42" width="17.90625" style="300" customWidth="1"/>
    <col min="43" max="43" width="18" style="300" customWidth="1"/>
    <col min="44" max="16384" width="8.90625" style="300"/>
  </cols>
  <sheetData>
    <row r="1" spans="2:42" ht="15" customHeight="1" x14ac:dyDescent="0.35"/>
    <row r="2" spans="2:42" ht="20.149999999999999" customHeight="1" thickBot="1" x14ac:dyDescent="0.4">
      <c r="B2" s="470"/>
      <c r="C2" s="472"/>
      <c r="D2" s="472">
        <v>1</v>
      </c>
      <c r="E2" s="472">
        <v>2</v>
      </c>
      <c r="F2" s="472">
        <v>3</v>
      </c>
      <c r="G2" s="472">
        <v>4</v>
      </c>
      <c r="H2" s="472">
        <v>5</v>
      </c>
      <c r="I2" s="472">
        <v>6</v>
      </c>
      <c r="J2" s="472">
        <v>7</v>
      </c>
      <c r="K2" s="472">
        <v>8</v>
      </c>
      <c r="L2" s="472">
        <v>9</v>
      </c>
      <c r="M2" s="472">
        <v>10</v>
      </c>
      <c r="N2" s="472">
        <v>11</v>
      </c>
      <c r="O2" s="472">
        <v>12</v>
      </c>
      <c r="P2" s="472">
        <v>13</v>
      </c>
      <c r="Q2" s="472">
        <v>14</v>
      </c>
      <c r="R2" s="472">
        <v>15</v>
      </c>
      <c r="S2" s="472">
        <v>16</v>
      </c>
      <c r="T2" s="472">
        <v>17</v>
      </c>
      <c r="U2" s="472">
        <v>18</v>
      </c>
      <c r="V2" s="472">
        <v>19</v>
      </c>
      <c r="W2" s="472">
        <v>20</v>
      </c>
      <c r="X2" s="472">
        <v>21</v>
      </c>
      <c r="Y2" s="472">
        <v>22</v>
      </c>
      <c r="Z2" s="472">
        <v>23</v>
      </c>
      <c r="AA2" s="472">
        <v>24</v>
      </c>
      <c r="AB2" s="472">
        <v>25</v>
      </c>
      <c r="AC2" s="472">
        <v>26</v>
      </c>
      <c r="AD2" s="472">
        <v>27</v>
      </c>
      <c r="AE2" s="472">
        <v>28</v>
      </c>
      <c r="AF2" s="472">
        <v>29</v>
      </c>
      <c r="AG2" s="472">
        <v>30</v>
      </c>
      <c r="AH2" s="472">
        <v>31</v>
      </c>
      <c r="AI2" s="472">
        <v>32</v>
      </c>
      <c r="AJ2" s="472"/>
    </row>
    <row r="3" spans="2:42" ht="99.9" customHeight="1" thickTop="1" x14ac:dyDescent="0.35">
      <c r="B3" s="470"/>
      <c r="C3" s="332"/>
      <c r="D3" s="1240" t="s">
        <v>16</v>
      </c>
      <c r="E3" s="1246" t="s">
        <v>2</v>
      </c>
      <c r="F3" s="511" t="s">
        <v>17</v>
      </c>
      <c r="G3" s="322" t="s">
        <v>18</v>
      </c>
      <c r="H3" s="322" t="s">
        <v>19</v>
      </c>
      <c r="I3" s="322" t="s">
        <v>20</v>
      </c>
      <c r="J3" s="322" t="s">
        <v>21</v>
      </c>
      <c r="K3" s="322" t="s">
        <v>22</v>
      </c>
      <c r="L3" s="322" t="s">
        <v>23</v>
      </c>
      <c r="M3" s="498" t="s">
        <v>24</v>
      </c>
      <c r="N3" s="511" t="s">
        <v>25</v>
      </c>
      <c r="O3" s="322" t="s">
        <v>26</v>
      </c>
      <c r="P3" s="322" t="s">
        <v>27</v>
      </c>
      <c r="Q3" s="322" t="s">
        <v>28</v>
      </c>
      <c r="R3" s="322" t="s">
        <v>29</v>
      </c>
      <c r="S3" s="322" t="s">
        <v>30</v>
      </c>
      <c r="T3" s="322" t="s">
        <v>31</v>
      </c>
      <c r="U3" s="322" t="s">
        <v>32</v>
      </c>
      <c r="V3" s="322" t="s">
        <v>33</v>
      </c>
      <c r="W3" s="322" t="s">
        <v>34</v>
      </c>
      <c r="X3" s="322" t="s">
        <v>35</v>
      </c>
      <c r="Y3" s="322" t="s">
        <v>36</v>
      </c>
      <c r="Z3" s="322" t="s">
        <v>37</v>
      </c>
      <c r="AA3" s="322" t="s">
        <v>38</v>
      </c>
      <c r="AB3" s="498" t="s">
        <v>39</v>
      </c>
      <c r="AC3" s="511" t="s">
        <v>25</v>
      </c>
      <c r="AD3" s="322" t="s">
        <v>40</v>
      </c>
      <c r="AE3" s="1256" t="s">
        <v>41</v>
      </c>
      <c r="AF3" s="1258" t="s">
        <v>42</v>
      </c>
      <c r="AG3" s="1254" t="s">
        <v>43</v>
      </c>
      <c r="AH3" s="1248" t="s">
        <v>44</v>
      </c>
      <c r="AI3" s="1236" t="s">
        <v>45</v>
      </c>
      <c r="AJ3" s="332"/>
    </row>
    <row r="4" spans="2:42" s="301" customFormat="1" ht="50.15" customHeight="1" x14ac:dyDescent="0.35">
      <c r="B4" s="471"/>
      <c r="C4" s="443" t="s">
        <v>46</v>
      </c>
      <c r="D4" s="1241"/>
      <c r="E4" s="1247"/>
      <c r="F4" s="512" t="s">
        <v>47</v>
      </c>
      <c r="G4" s="317">
        <v>8500</v>
      </c>
      <c r="H4" s="317">
        <v>1500</v>
      </c>
      <c r="I4" s="317">
        <v>2600</v>
      </c>
      <c r="J4" s="317">
        <v>750</v>
      </c>
      <c r="K4" s="317" t="s">
        <v>48</v>
      </c>
      <c r="L4" s="317">
        <v>2100</v>
      </c>
      <c r="M4" s="499">
        <v>1050</v>
      </c>
      <c r="N4" s="512" t="s">
        <v>47</v>
      </c>
      <c r="O4" s="317">
        <v>550</v>
      </c>
      <c r="P4" s="317">
        <v>70</v>
      </c>
      <c r="Q4" s="317">
        <v>30</v>
      </c>
      <c r="R4" s="317">
        <v>35</v>
      </c>
      <c r="S4" s="317">
        <v>35</v>
      </c>
      <c r="T4" s="317">
        <v>20</v>
      </c>
      <c r="U4" s="317">
        <v>16</v>
      </c>
      <c r="V4" s="317">
        <v>15</v>
      </c>
      <c r="W4" s="317">
        <v>13</v>
      </c>
      <c r="X4" s="317">
        <v>10</v>
      </c>
      <c r="Y4" s="317">
        <v>10</v>
      </c>
      <c r="Z4" s="317">
        <v>10</v>
      </c>
      <c r="AA4" s="317">
        <v>10</v>
      </c>
      <c r="AB4" s="499">
        <v>10</v>
      </c>
      <c r="AC4" s="512" t="s">
        <v>47</v>
      </c>
      <c r="AD4" s="317">
        <v>2120</v>
      </c>
      <c r="AE4" s="1257"/>
      <c r="AF4" s="1259"/>
      <c r="AG4" s="1255"/>
      <c r="AH4" s="1249"/>
      <c r="AI4" s="1237"/>
      <c r="AJ4" s="443" t="s">
        <v>46</v>
      </c>
    </row>
    <row r="5" spans="2:42" ht="17.25" customHeight="1" x14ac:dyDescent="0.35">
      <c r="B5" s="470"/>
      <c r="C5" s="444" t="s">
        <v>49</v>
      </c>
      <c r="D5" s="305"/>
      <c r="E5" s="506"/>
      <c r="F5" s="500"/>
      <c r="G5" s="308"/>
      <c r="H5" s="308"/>
      <c r="I5" s="309"/>
      <c r="J5" s="308"/>
      <c r="K5" s="308"/>
      <c r="L5" s="308"/>
      <c r="M5" s="309"/>
      <c r="N5" s="500"/>
      <c r="O5" s="308"/>
      <c r="P5" s="308"/>
      <c r="Q5" s="308"/>
      <c r="R5" s="308"/>
      <c r="S5" s="308"/>
      <c r="T5" s="308"/>
      <c r="U5" s="308"/>
      <c r="V5" s="308"/>
      <c r="W5" s="308"/>
      <c r="X5" s="308"/>
      <c r="Y5" s="308"/>
      <c r="Z5" s="308"/>
      <c r="AA5" s="308"/>
      <c r="AB5" s="309"/>
      <c r="AC5" s="500"/>
      <c r="AD5" s="308"/>
      <c r="AE5" s="304"/>
      <c r="AF5" s="321"/>
      <c r="AG5" s="500"/>
      <c r="AH5" s="305"/>
      <c r="AI5" s="305"/>
      <c r="AJ5" s="302"/>
      <c r="AM5" s="452"/>
      <c r="AN5" s="452"/>
      <c r="AO5" s="452"/>
    </row>
    <row r="6" spans="2:42" ht="24.9" customHeight="1" x14ac:dyDescent="0.35">
      <c r="B6" s="472" t="s">
        <v>50</v>
      </c>
      <c r="C6" s="430" t="s">
        <v>51</v>
      </c>
      <c r="D6" s="338">
        <f>'Transport 2022'!Q115</f>
        <v>584834046.26199996</v>
      </c>
      <c r="E6" s="507">
        <f>'Transport 2022'!T116</f>
        <v>269813417.78999996</v>
      </c>
      <c r="F6" s="501">
        <f>SUM(G6:M6)</f>
        <v>286759426.78885311</v>
      </c>
      <c r="G6" s="336">
        <f>'Transport 2022'!AL118</f>
        <v>176572685.29192814</v>
      </c>
      <c r="H6" s="336">
        <f>'Transport 2022'!AM118</f>
        <v>20365231.899749998</v>
      </c>
      <c r="I6" s="337">
        <f>'Transport 2022'!AN118</f>
        <v>41576994.724494725</v>
      </c>
      <c r="J6" s="338">
        <f>'Transport 2022'!AO118</f>
        <v>6605507.8456795914</v>
      </c>
      <c r="K6" s="336">
        <f>'Transport 2022'!AP118</f>
        <v>2900000</v>
      </c>
      <c r="L6" s="337">
        <f>'Transport 2022'!AQ118</f>
        <v>28500969.442000475</v>
      </c>
      <c r="M6" s="337">
        <f>'Transport 2022'!AR118</f>
        <v>10238037.585000237</v>
      </c>
      <c r="N6" s="501">
        <f>SUM(O6:AB6)</f>
        <v>9158818.5935314149</v>
      </c>
      <c r="O6" s="336">
        <f>'Transport 2022'!AS118</f>
        <v>7461373.3380569592</v>
      </c>
      <c r="P6" s="336">
        <f>'Transport 2022'!AT118</f>
        <v>418384.39395497082</v>
      </c>
      <c r="Q6" s="336">
        <f>'Transport 2022'!AU118</f>
        <v>179307.59740927321</v>
      </c>
      <c r="R6" s="336">
        <f>'Transport 2022'!AV118</f>
        <v>209192.19697748541</v>
      </c>
      <c r="S6" s="336">
        <f>'Transport 2022'!AW118</f>
        <v>209192.19697748541</v>
      </c>
      <c r="T6" s="336">
        <f>'Transport 2022'!AX118</f>
        <v>119538.3982728488</v>
      </c>
      <c r="U6" s="336">
        <f>'Transport 2022'!AY118</f>
        <v>95630.718618279046</v>
      </c>
      <c r="V6" s="336">
        <f>'Transport 2022'!AZ118</f>
        <v>89653.798704636603</v>
      </c>
      <c r="W6" s="336">
        <f>'Transport 2022'!BA118</f>
        <v>77699.958877351732</v>
      </c>
      <c r="X6" s="336">
        <f>'Transport 2022'!BB118</f>
        <v>59769.199136424402</v>
      </c>
      <c r="Y6" s="336">
        <f>'Transport 2022'!BC118</f>
        <v>59769.199136424402</v>
      </c>
      <c r="Z6" s="336">
        <f>'Transport 2022'!BD118</f>
        <v>59769.199136424402</v>
      </c>
      <c r="AA6" s="336">
        <f>'Transport 2022'!BE118</f>
        <v>59769.199136424402</v>
      </c>
      <c r="AB6" s="337">
        <f>'Transport 2022'!BF118</f>
        <v>59769.199136424402</v>
      </c>
      <c r="AC6" s="501">
        <f>SUM(AD6:AF6)</f>
        <v>13171070.216921974</v>
      </c>
      <c r="AD6" s="336">
        <f>'Transport 2022'!BG118</f>
        <v>12671070.216921974</v>
      </c>
      <c r="AE6" s="336">
        <f>'Transport 2022'!BH118</f>
        <v>0</v>
      </c>
      <c r="AF6" s="337">
        <f>'Transport 2022'!BI118</f>
        <v>500000</v>
      </c>
      <c r="AG6" s="524"/>
      <c r="AH6" s="1250">
        <f>AG7-(D6-(E6+F6+N6+AC6))</f>
        <v>63590245.722878292</v>
      </c>
      <c r="AI6" s="1238">
        <f>AH6/D6</f>
        <v>0.10873212004211957</v>
      </c>
      <c r="AJ6" s="430" t="s">
        <v>51</v>
      </c>
      <c r="AM6" s="451"/>
      <c r="AN6" s="451"/>
      <c r="AO6" s="451"/>
      <c r="AP6" s="530"/>
    </row>
    <row r="7" spans="2:42" ht="24.9" customHeight="1" x14ac:dyDescent="0.35">
      <c r="B7" s="472" t="s">
        <v>52</v>
      </c>
      <c r="C7" s="482" t="s">
        <v>53</v>
      </c>
      <c r="D7" s="525"/>
      <c r="E7" s="526"/>
      <c r="F7" s="502">
        <f>SUM(G7:M7)</f>
        <v>65570464.182991192</v>
      </c>
      <c r="G7" s="447"/>
      <c r="H7" s="447">
        <f>'Transport 2022'!AM119</f>
        <v>18875712.034310851</v>
      </c>
      <c r="I7" s="484">
        <f>'Transport 2022'!AN119</f>
        <v>18677900.859472141</v>
      </c>
      <c r="J7" s="483">
        <f>'Transport 2022'!AO119</f>
        <v>5387856.0171554256</v>
      </c>
      <c r="K7" s="448"/>
      <c r="L7" s="484">
        <f>'Transport 2022'!AQ119</f>
        <v>15085996.84803519</v>
      </c>
      <c r="M7" s="484">
        <f>'Transport 2022'!AR119</f>
        <v>7542998.4240175951</v>
      </c>
      <c r="N7" s="502">
        <f>SUM(O7:AB7)</f>
        <v>3951094.4125806447</v>
      </c>
      <c r="O7" s="447">
        <f>'Transport 2022'!AS119</f>
        <v>3951094.4125806447</v>
      </c>
      <c r="P7" s="447">
        <f>'Transport 2022'!AT119</f>
        <v>0</v>
      </c>
      <c r="Q7" s="447">
        <f>'Transport 2022'!AU119</f>
        <v>0</v>
      </c>
      <c r="R7" s="447">
        <f>'Transport 2022'!AV119</f>
        <v>0</v>
      </c>
      <c r="S7" s="447">
        <f>'Transport 2022'!AW119</f>
        <v>0</v>
      </c>
      <c r="T7" s="447">
        <f>'Transport 2022'!AX119</f>
        <v>0</v>
      </c>
      <c r="U7" s="447">
        <f>'Transport 2022'!AY119</f>
        <v>0</v>
      </c>
      <c r="V7" s="447">
        <f>'Transport 2022'!AZ119</f>
        <v>0</v>
      </c>
      <c r="W7" s="447">
        <f>'Transport 2022'!BA119</f>
        <v>0</v>
      </c>
      <c r="X7" s="447">
        <f>'Transport 2022'!BB119</f>
        <v>0</v>
      </c>
      <c r="Y7" s="447">
        <f>'Transport 2022'!BC119</f>
        <v>0</v>
      </c>
      <c r="Z7" s="447">
        <f>'Transport 2022'!BD119</f>
        <v>0</v>
      </c>
      <c r="AA7" s="447">
        <f>'Transport 2022'!BE119</f>
        <v>0</v>
      </c>
      <c r="AB7" s="484">
        <f>'Transport 2022'!BF119</f>
        <v>0</v>
      </c>
      <c r="AC7" s="502">
        <f t="shared" ref="AC7:AC51" si="0">SUM(AD7:AF7)</f>
        <v>0</v>
      </c>
      <c r="AD7" s="447">
        <f>'Transport 2022'!BG119</f>
        <v>0</v>
      </c>
      <c r="AE7" s="447">
        <f>'Transport 2022'!BH119</f>
        <v>0</v>
      </c>
      <c r="AF7" s="484">
        <f>'Transport 2022'!BI119</f>
        <v>0</v>
      </c>
      <c r="AG7" s="515">
        <f>F7+N7+AC7</f>
        <v>69521558.595571831</v>
      </c>
      <c r="AH7" s="1251"/>
      <c r="AI7" s="1239"/>
      <c r="AJ7" s="482" t="s">
        <v>53</v>
      </c>
      <c r="AM7" s="451"/>
      <c r="AN7" s="451"/>
      <c r="AO7" s="451"/>
      <c r="AP7" s="494"/>
    </row>
    <row r="8" spans="2:42" ht="24.9" customHeight="1" x14ac:dyDescent="0.35">
      <c r="B8" s="472" t="s">
        <v>54</v>
      </c>
      <c r="C8" s="343" t="s">
        <v>55</v>
      </c>
      <c r="D8" s="340">
        <f>'Transport 2019'!G42</f>
        <v>698452278.01630187</v>
      </c>
      <c r="E8" s="508">
        <f>'Transport 2019'!I42</f>
        <v>61450000</v>
      </c>
      <c r="F8" s="503">
        <f>SUM(G8:M8)</f>
        <v>365843504.19001883</v>
      </c>
      <c r="G8" s="341">
        <f>'Transport 2019'!AM43</f>
        <v>199147726.96026784</v>
      </c>
      <c r="H8" s="341">
        <f>'Transport 2019'!AN43</f>
        <v>34451723.125320837</v>
      </c>
      <c r="I8" s="429">
        <f>'Transport 2019'!AI43</f>
        <v>43086653.411167815</v>
      </c>
      <c r="J8" s="340">
        <f>'Transport 2019'!AH43</f>
        <v>16409611.810913794</v>
      </c>
      <c r="K8" s="341">
        <v>0</v>
      </c>
      <c r="L8" s="429">
        <f>('Transport 2019'!AK43)+('Transport 2019'!AL43)</f>
        <v>49674332.694623962</v>
      </c>
      <c r="M8" s="429">
        <f>'Transport 2019'!AJ43</f>
        <v>23073456.187724583</v>
      </c>
      <c r="N8" s="503">
        <f>SUM(O8:AB8)</f>
        <v>9246689.7143097036</v>
      </c>
      <c r="O8" s="341">
        <f>'Transport 2019'!AO43</f>
        <v>9021663.3543056939</v>
      </c>
      <c r="P8" s="341">
        <f>'Transport 2019'!AP43</f>
        <v>68458.33451481715</v>
      </c>
      <c r="Q8" s="341">
        <f>'Transport 2019'!AR43</f>
        <v>41075.000708890286</v>
      </c>
      <c r="R8" s="341">
        <f>'Transport 2019'!AT43</f>
        <v>34229.167257408575</v>
      </c>
      <c r="S8" s="341">
        <f>'Transport 2019'!AV43</f>
        <v>34229.167257408575</v>
      </c>
      <c r="T8" s="341">
        <f>'Transport 2019'!AX43</f>
        <v>8251.7000465766196</v>
      </c>
      <c r="U8" s="341">
        <f>'Transport 2019'!AZ43</f>
        <v>6601.3600372612964</v>
      </c>
      <c r="V8" s="341">
        <f>'Transport 2019'!BA43</f>
        <v>6188.7750349324651</v>
      </c>
      <c r="W8" s="341">
        <f>'Transport 2019'!BB43</f>
        <v>5363.6050302748035</v>
      </c>
      <c r="X8" s="341">
        <f>'Transport 2019'!BD43</f>
        <v>4125.8500232883098</v>
      </c>
      <c r="Y8" s="341">
        <f>'Transport 2019'!BE43</f>
        <v>4125.8500232883098</v>
      </c>
      <c r="Z8" s="341">
        <f>'Transport 2019'!BF43</f>
        <v>4125.8500232883098</v>
      </c>
      <c r="AA8" s="341">
        <f>'Transport 2019'!BG43</f>
        <v>4125.8500232883098</v>
      </c>
      <c r="AB8" s="429">
        <f>'Transport 2019'!BI43</f>
        <v>4125.8500232883098</v>
      </c>
      <c r="AC8" s="503">
        <f t="shared" si="0"/>
        <v>28750000</v>
      </c>
      <c r="AD8" s="341">
        <v>28250000</v>
      </c>
      <c r="AE8" s="436"/>
      <c r="AF8" s="429">
        <f>'Transport 2019'!BJ43</f>
        <v>500000</v>
      </c>
      <c r="AG8" s="516"/>
      <c r="AH8" s="496">
        <f>AG7-(D8-(E8+F8+N8+AC8))</f>
        <v>-163640525.51640153</v>
      </c>
      <c r="AI8" s="527">
        <f>AH8/D8</f>
        <v>-0.23429020230439015</v>
      </c>
      <c r="AJ8" s="343" t="s">
        <v>55</v>
      </c>
    </row>
    <row r="9" spans="2:42" ht="24.9" customHeight="1" x14ac:dyDescent="0.35">
      <c r="B9" s="472" t="s">
        <v>56</v>
      </c>
      <c r="C9" s="343" t="s">
        <v>57</v>
      </c>
      <c r="D9" s="341">
        <f>(D6+D7)-D8</f>
        <v>-113618231.75430191</v>
      </c>
      <c r="E9" s="429">
        <f>E6-E8</f>
        <v>208363417.78999996</v>
      </c>
      <c r="F9" s="504">
        <f>(F6+F7)-F8</f>
        <v>-13513613.218174517</v>
      </c>
      <c r="G9" s="341">
        <f>(G6+G7)-G8</f>
        <v>-22575041.6683397</v>
      </c>
      <c r="H9" s="341">
        <f>(H6+H7)-H8</f>
        <v>4789220.8087400123</v>
      </c>
      <c r="I9" s="341">
        <f>(I6+I7)-I8</f>
        <v>17168242.172799051</v>
      </c>
      <c r="J9" s="341">
        <f>(J6+J7)-J8</f>
        <v>-4416247.9480787776</v>
      </c>
      <c r="K9" s="341">
        <f>K6-K8</f>
        <v>2900000</v>
      </c>
      <c r="L9" s="341">
        <f t="shared" ref="L9:AF9" si="1">(L6+L7)-L8</f>
        <v>-6087366.404588297</v>
      </c>
      <c r="M9" s="429">
        <f t="shared" si="1"/>
        <v>-5292420.1787067503</v>
      </c>
      <c r="N9" s="504">
        <f>N6-N8</f>
        <v>-87871.120778288692</v>
      </c>
      <c r="O9" s="429">
        <f t="shared" si="1"/>
        <v>2390804.39633191</v>
      </c>
      <c r="P9" s="429">
        <f t="shared" si="1"/>
        <v>349926.05944015365</v>
      </c>
      <c r="Q9" s="429">
        <f t="shared" si="1"/>
        <v>138232.59670038291</v>
      </c>
      <c r="R9" s="429">
        <f t="shared" si="1"/>
        <v>174963.02972007683</v>
      </c>
      <c r="S9" s="429">
        <f t="shared" si="1"/>
        <v>174963.02972007683</v>
      </c>
      <c r="T9" s="429">
        <f t="shared" si="1"/>
        <v>111286.69822627219</v>
      </c>
      <c r="U9" s="429">
        <f t="shared" si="1"/>
        <v>89029.358581017746</v>
      </c>
      <c r="V9" s="429">
        <f t="shared" si="1"/>
        <v>83465.02366970414</v>
      </c>
      <c r="W9" s="429">
        <f t="shared" si="1"/>
        <v>72336.353847076927</v>
      </c>
      <c r="X9" s="429">
        <f t="shared" si="1"/>
        <v>55643.349113136093</v>
      </c>
      <c r="Y9" s="429">
        <f t="shared" si="1"/>
        <v>55643.349113136093</v>
      </c>
      <c r="Z9" s="429">
        <f t="shared" si="1"/>
        <v>55643.349113136093</v>
      </c>
      <c r="AA9" s="429">
        <f t="shared" si="1"/>
        <v>55643.349113136093</v>
      </c>
      <c r="AB9" s="429">
        <f t="shared" si="1"/>
        <v>55643.349113136093</v>
      </c>
      <c r="AC9" s="504">
        <f t="shared" si="0"/>
        <v>-15578929.783078026</v>
      </c>
      <c r="AD9" s="429">
        <f t="shared" si="1"/>
        <v>-15578929.783078026</v>
      </c>
      <c r="AE9" s="438"/>
      <c r="AF9" s="429">
        <f t="shared" si="1"/>
        <v>0</v>
      </c>
      <c r="AG9" s="517"/>
      <c r="AH9" s="497">
        <f>AH6-AH8</f>
        <v>227230771.23927981</v>
      </c>
      <c r="AI9" s="528">
        <f>AI6-AI8</f>
        <v>0.34302232234650976</v>
      </c>
      <c r="AJ9" s="343" t="s">
        <v>57</v>
      </c>
    </row>
    <row r="10" spans="2:42" ht="24.9" hidden="1" customHeight="1" x14ac:dyDescent="0.35">
      <c r="B10" s="472" t="s">
        <v>58</v>
      </c>
      <c r="C10" s="343" t="s">
        <v>59</v>
      </c>
      <c r="D10" s="340"/>
      <c r="E10" s="508"/>
      <c r="F10" s="503">
        <f>SUM(G10:M10)</f>
        <v>408449592.60074782</v>
      </c>
      <c r="G10" s="341">
        <f>'Transport 2019'!AM47</f>
        <v>218801519.4782232</v>
      </c>
      <c r="H10" s="341">
        <f>'Transport 2019'!AN47</f>
        <v>38018134.890250027</v>
      </c>
      <c r="I10" s="429">
        <f>'Transport 2019'!AI47</f>
        <v>48895233.802500755</v>
      </c>
      <c r="J10" s="340">
        <f>'Transport 2019'!AH47</f>
        <v>18881317.743029065</v>
      </c>
      <c r="K10" s="341">
        <v>0</v>
      </c>
      <c r="L10" s="429">
        <f>('Transport 2019'!AK47)+('Transport 2019'!AL47)</f>
        <v>57299542.263569698</v>
      </c>
      <c r="M10" s="429">
        <f>'Transport 2019'!AJ47</f>
        <v>26553844.423175015</v>
      </c>
      <c r="N10" s="503">
        <f>SUM(O10:AB10)</f>
        <v>10393840.084446494</v>
      </c>
      <c r="O10" s="341">
        <f>'Transport 2019'!AO47</f>
        <v>10123808.452441676</v>
      </c>
      <c r="P10" s="341">
        <f>'Transport 2019'!AP47</f>
        <v>82150.001417780586</v>
      </c>
      <c r="Q10" s="341">
        <f>'Transport 2019'!AR47</f>
        <v>49290.000850668344</v>
      </c>
      <c r="R10" s="341">
        <f>'Transport 2019'!AT47</f>
        <v>41075.000708890293</v>
      </c>
      <c r="S10" s="341">
        <f>'Transport 2019'!AV47</f>
        <v>41075.000708890293</v>
      </c>
      <c r="T10" s="341">
        <f>'Transport 2019'!AX47</f>
        <v>9902.0400558919428</v>
      </c>
      <c r="U10" s="341">
        <f>'Transport 2019'!AZ47</f>
        <v>7921.6320447135558</v>
      </c>
      <c r="V10" s="341">
        <f>'Transport 2019'!BA47</f>
        <v>7426.530041918958</v>
      </c>
      <c r="W10" s="341">
        <f>'Transport 2019'!BB47</f>
        <v>6436.3260363297641</v>
      </c>
      <c r="X10" s="341">
        <f>'Transport 2019'!BD47</f>
        <v>4951.0200279459714</v>
      </c>
      <c r="Y10" s="341">
        <f>'Transport 2019'!BE47</f>
        <v>4951.0200279459714</v>
      </c>
      <c r="Z10" s="341">
        <f>'Transport 2019'!BF47</f>
        <v>4951.0200279459714</v>
      </c>
      <c r="AA10" s="341">
        <f>'Transport 2019'!BG47</f>
        <v>4951.0200279459714</v>
      </c>
      <c r="AB10" s="429">
        <f>'Transport 2019'!BI47</f>
        <v>4951.0200279459714</v>
      </c>
      <c r="AC10" s="503">
        <f t="shared" si="0"/>
        <v>600000</v>
      </c>
      <c r="AD10" s="436"/>
      <c r="AE10" s="436"/>
      <c r="AF10" s="429">
        <f>'Transport 2019'!BJ47</f>
        <v>600000</v>
      </c>
      <c r="AG10" s="516"/>
      <c r="AH10" s="496">
        <f>D10-E10-F10-N10-AC10</f>
        <v>-419443432.68519431</v>
      </c>
      <c r="AI10" s="527" t="e">
        <f>AH10/D10</f>
        <v>#DIV/0!</v>
      </c>
      <c r="AJ10" s="343" t="s">
        <v>59</v>
      </c>
    </row>
    <row r="11" spans="2:42" ht="24.9" hidden="1" customHeight="1" x14ac:dyDescent="0.35">
      <c r="B11" s="472" t="s">
        <v>60</v>
      </c>
      <c r="C11" s="343" t="s">
        <v>61</v>
      </c>
      <c r="D11" s="341"/>
      <c r="E11" s="429"/>
      <c r="F11" s="504">
        <f t="shared" ref="F11:K11" si="2">F6-F10</f>
        <v>-121690165.81189471</v>
      </c>
      <c r="G11" s="341">
        <f t="shared" si="2"/>
        <v>-42228834.186295062</v>
      </c>
      <c r="H11" s="341">
        <f t="shared" si="2"/>
        <v>-17652902.990500029</v>
      </c>
      <c r="I11" s="341">
        <f t="shared" si="2"/>
        <v>-7318239.0780060291</v>
      </c>
      <c r="J11" s="341">
        <f t="shared" si="2"/>
        <v>-12275809.897349473</v>
      </c>
      <c r="K11" s="341">
        <f t="shared" si="2"/>
        <v>2900000</v>
      </c>
      <c r="L11" s="341">
        <f t="shared" ref="L11:AB11" si="3">L6-L10</f>
        <v>-28798572.821569223</v>
      </c>
      <c r="M11" s="429">
        <f t="shared" si="3"/>
        <v>-16315806.838174777</v>
      </c>
      <c r="N11" s="504">
        <f t="shared" si="3"/>
        <v>-1235021.4909150787</v>
      </c>
      <c r="O11" s="341">
        <f t="shared" si="3"/>
        <v>-2662435.1143847164</v>
      </c>
      <c r="P11" s="341">
        <f t="shared" si="3"/>
        <v>336234.39253719023</v>
      </c>
      <c r="Q11" s="341">
        <f t="shared" si="3"/>
        <v>130017.59655860486</v>
      </c>
      <c r="R11" s="341">
        <f t="shared" si="3"/>
        <v>168117.19626859511</v>
      </c>
      <c r="S11" s="341">
        <f t="shared" si="3"/>
        <v>168117.19626859511</v>
      </c>
      <c r="T11" s="341">
        <f t="shared" si="3"/>
        <v>109636.35821695687</v>
      </c>
      <c r="U11" s="341">
        <f t="shared" si="3"/>
        <v>87709.086573565495</v>
      </c>
      <c r="V11" s="341">
        <f t="shared" si="3"/>
        <v>82227.268662717644</v>
      </c>
      <c r="W11" s="341">
        <f t="shared" si="3"/>
        <v>71263.632841021972</v>
      </c>
      <c r="X11" s="341">
        <f t="shared" si="3"/>
        <v>54818.179108478435</v>
      </c>
      <c r="Y11" s="341">
        <f t="shared" si="3"/>
        <v>54818.179108478435</v>
      </c>
      <c r="Z11" s="341">
        <f t="shared" si="3"/>
        <v>54818.179108478435</v>
      </c>
      <c r="AA11" s="341">
        <f t="shared" si="3"/>
        <v>54818.179108478435</v>
      </c>
      <c r="AB11" s="429">
        <f t="shared" si="3"/>
        <v>54818.179108478435</v>
      </c>
      <c r="AC11" s="504">
        <f t="shared" si="0"/>
        <v>-100000</v>
      </c>
      <c r="AD11" s="438"/>
      <c r="AE11" s="438"/>
      <c r="AF11" s="429">
        <f>AF6-AF10</f>
        <v>-100000</v>
      </c>
      <c r="AG11" s="518"/>
      <c r="AH11" s="497">
        <f>AH6-AH10</f>
        <v>483033678.40807259</v>
      </c>
      <c r="AI11" s="528" t="e">
        <f>AI6-AI10</f>
        <v>#DIV/0!</v>
      </c>
      <c r="AJ11" s="343" t="s">
        <v>61</v>
      </c>
    </row>
    <row r="12" spans="2:42" ht="24.9" customHeight="1" x14ac:dyDescent="0.35">
      <c r="B12" s="472" t="s">
        <v>62</v>
      </c>
      <c r="C12" s="430" t="s">
        <v>63</v>
      </c>
      <c r="D12" s="338">
        <f>'Education 2022'!Q47</f>
        <v>402111538.23666936</v>
      </c>
      <c r="E12" s="507">
        <f>'Education 2022'!U48</f>
        <v>2250231.7599999998</v>
      </c>
      <c r="F12" s="501">
        <f>SUM(G12:M12)</f>
        <v>355812151.87940162</v>
      </c>
      <c r="G12" s="336">
        <f>'Education 2022'!AK50</f>
        <v>186901724.25</v>
      </c>
      <c r="H12" s="336">
        <f>'Education 2022'!AL50</f>
        <v>48173305.750000007</v>
      </c>
      <c r="I12" s="336">
        <f>'Education 2022'!AM50</f>
        <v>46566461.043927506</v>
      </c>
      <c r="J12" s="336">
        <f>'Education 2022'!AN50</f>
        <v>13448140.844473073</v>
      </c>
      <c r="K12" s="441"/>
      <c r="L12" s="336">
        <f>'Education 2022'!AP50</f>
        <v>39564739.601846345</v>
      </c>
      <c r="M12" s="337">
        <f>'Education 2022'!AQ50</f>
        <v>21157780.389154714</v>
      </c>
      <c r="N12" s="501">
        <f>SUM(O12:AB12)</f>
        <v>11646713.97247982</v>
      </c>
      <c r="O12" s="336">
        <f>'Education 2022'!AR50</f>
        <v>7920470.3307897476</v>
      </c>
      <c r="P12" s="336">
        <f>'Education 2022'!AS50</f>
        <v>996781.42316782346</v>
      </c>
      <c r="Q12" s="336">
        <f>'Education 2022'!AT50</f>
        <v>440484.48224259447</v>
      </c>
      <c r="R12" s="336">
        <f>'Education 2022'!AU50</f>
        <v>498390.71158391173</v>
      </c>
      <c r="S12" s="336">
        <f>'Education 2022'!AV50</f>
        <v>498390.71158391173</v>
      </c>
      <c r="T12" s="336">
        <f>'Education 2022'!AW50</f>
        <v>293656.32149506296</v>
      </c>
      <c r="U12" s="336">
        <f>'Education 2022'!AX50</f>
        <v>169964.25389221555</v>
      </c>
      <c r="V12" s="336">
        <f>'Education 2022'!AY50</f>
        <v>159341.48802395209</v>
      </c>
      <c r="W12" s="336">
        <f>'Education 2022'!AZ50</f>
        <v>138095.95628742513</v>
      </c>
      <c r="X12" s="336">
        <f>'Education 2022'!BA50</f>
        <v>106227.65868263473</v>
      </c>
      <c r="Y12" s="336">
        <f>'Education 2022'!BB50</f>
        <v>106227.65868263473</v>
      </c>
      <c r="Z12" s="336">
        <f>'Education 2022'!BB50</f>
        <v>106227.65868263473</v>
      </c>
      <c r="AA12" s="336">
        <f>'Education 2022'!BD50</f>
        <v>106227.65868263473</v>
      </c>
      <c r="AB12" s="337">
        <f>'Education 2022'!BE50</f>
        <v>106227.65868263473</v>
      </c>
      <c r="AC12" s="501">
        <f t="shared" si="0"/>
        <v>16163815.063829863</v>
      </c>
      <c r="AD12" s="336">
        <f>'Education 2022'!BF50</f>
        <v>14976000.460237049</v>
      </c>
      <c r="AE12" s="336">
        <f>'Education 2022'!BG50</f>
        <v>0</v>
      </c>
      <c r="AF12" s="337">
        <f>'Education 2022'!BH50</f>
        <v>1187814.6035928144</v>
      </c>
      <c r="AG12" s="519"/>
      <c r="AH12" s="495">
        <f>D12-E12-F12-N12-AC12</f>
        <v>16238625.560958063</v>
      </c>
      <c r="AI12" s="529">
        <f>AH12/D12</f>
        <v>4.038338624195497E-2</v>
      </c>
      <c r="AJ12" s="430" t="s">
        <v>63</v>
      </c>
    </row>
    <row r="13" spans="2:42" ht="24.9" customHeight="1" x14ac:dyDescent="0.35">
      <c r="B13" s="472" t="s">
        <v>64</v>
      </c>
      <c r="C13" s="343" t="s">
        <v>65</v>
      </c>
      <c r="D13" s="460">
        <f>'Education 2019'!G34</f>
        <v>311853088.23599994</v>
      </c>
      <c r="E13" s="509">
        <f>'Education 2019'!I34</f>
        <v>1092459</v>
      </c>
      <c r="F13" s="503">
        <f>SUM(G13:M13)</f>
        <v>273024768.69470465</v>
      </c>
      <c r="G13" s="341">
        <f>'Education 2019'!AM34</f>
        <v>161522819.79376861</v>
      </c>
      <c r="H13" s="341">
        <f>'Education 2019'!AN34</f>
        <v>28464572.610665049</v>
      </c>
      <c r="I13" s="429">
        <f>'Education 2019'!AI34</f>
        <v>33727436.719841771</v>
      </c>
      <c r="J13" s="340">
        <f>'Education 2019'!AH34</f>
        <v>9503086.4751325287</v>
      </c>
      <c r="K13" s="436"/>
      <c r="L13" s="429">
        <f>'Education 2019'!AK34+'Education 2019'!AL34</f>
        <v>26680274.155111127</v>
      </c>
      <c r="M13" s="429">
        <f>'Education 2019'!AJ34</f>
        <v>13126578.940185539</v>
      </c>
      <c r="N13" s="503">
        <f>SUM(O13:AB13)</f>
        <v>8876304.2098648101</v>
      </c>
      <c r="O13" s="341">
        <f>'Education 2019'!AO34</f>
        <v>7188189.157614857</v>
      </c>
      <c r="P13" s="341">
        <f>'Education 2019'!AP34</f>
        <v>688763.72017903591</v>
      </c>
      <c r="Q13" s="341">
        <f>'Education 2019'!AR34</f>
        <v>413258.23210742156</v>
      </c>
      <c r="R13" s="341">
        <f>'Education 2019'!AT34</f>
        <v>164084.75894550388</v>
      </c>
      <c r="S13" s="341">
        <f>'Education 2019'!AV34</f>
        <v>206270.91211451797</v>
      </c>
      <c r="T13" s="341">
        <f>'Education 2019'!AX34</f>
        <v>89229.092636867412</v>
      </c>
      <c r="U13" s="341">
        <f>'Education 2019'!AZ34</f>
        <v>32863.936669493924</v>
      </c>
      <c r="V13" s="341">
        <f>'Education 2019'!BA34</f>
        <v>9329.9406276505506</v>
      </c>
      <c r="W13" s="341">
        <f>'Education 2019'!BB34</f>
        <v>26701.948543963812</v>
      </c>
      <c r="X13" s="341">
        <f>'Education 2019'!BD34</f>
        <v>6219.9604184337004</v>
      </c>
      <c r="Y13" s="341">
        <f>'Education 2019'!BE34</f>
        <v>18412.668751767036</v>
      </c>
      <c r="Z13" s="341">
        <f>'Education 2019'!BF34</f>
        <v>20539.9604184337</v>
      </c>
      <c r="AA13" s="341">
        <f>'Education 2019'!BG34</f>
        <v>6219.9604184337004</v>
      </c>
      <c r="AB13" s="429">
        <f>'Education 2019'!BI34</f>
        <v>6219.9604184337004</v>
      </c>
      <c r="AC13" s="503">
        <f t="shared" si="0"/>
        <v>6638676.2858699989</v>
      </c>
      <c r="AD13" s="436"/>
      <c r="AE13" s="436"/>
      <c r="AF13" s="429">
        <f>'Education 2019'!BJ34</f>
        <v>6638676.2858699989</v>
      </c>
      <c r="AG13" s="520"/>
      <c r="AH13" s="496">
        <f>D13-E13-F13-N13-AC13</f>
        <v>22220880.045560479</v>
      </c>
      <c r="AI13" s="527">
        <f>AH13/D13</f>
        <v>7.1254320972907806E-2</v>
      </c>
      <c r="AJ13" s="343" t="s">
        <v>65</v>
      </c>
    </row>
    <row r="14" spans="2:42" ht="24.9" customHeight="1" x14ac:dyDescent="0.35">
      <c r="B14" s="472" t="s">
        <v>66</v>
      </c>
      <c r="C14" s="343" t="s">
        <v>57</v>
      </c>
      <c r="D14" s="341">
        <f>D12-D13</f>
        <v>90258450.00066942</v>
      </c>
      <c r="E14" s="429">
        <f>(E11+E12)-E13</f>
        <v>1157772.7599999998</v>
      </c>
      <c r="F14" s="504">
        <f>F12-F13</f>
        <v>82787383.184696972</v>
      </c>
      <c r="G14" s="341">
        <f>G12-G13</f>
        <v>25378904.456231385</v>
      </c>
      <c r="H14" s="341">
        <f t="shared" ref="H14:AF14" si="4">H12-H13</f>
        <v>19708733.139334958</v>
      </c>
      <c r="I14" s="341">
        <f t="shared" si="4"/>
        <v>12839024.324085735</v>
      </c>
      <c r="J14" s="341">
        <f t="shared" si="4"/>
        <v>3945054.3693405446</v>
      </c>
      <c r="K14" s="436"/>
      <c r="L14" s="341">
        <f t="shared" si="4"/>
        <v>12884465.446735218</v>
      </c>
      <c r="M14" s="429">
        <f t="shared" si="4"/>
        <v>8031201.4489691742</v>
      </c>
      <c r="N14" s="504">
        <f t="shared" si="4"/>
        <v>2770409.7626150101</v>
      </c>
      <c r="O14" s="341">
        <f t="shared" si="4"/>
        <v>732281.17317489069</v>
      </c>
      <c r="P14" s="341">
        <f t="shared" si="4"/>
        <v>308017.70298878755</v>
      </c>
      <c r="Q14" s="341">
        <f t="shared" si="4"/>
        <v>27226.250135172915</v>
      </c>
      <c r="R14" s="341">
        <f t="shared" si="4"/>
        <v>334305.95263840782</v>
      </c>
      <c r="S14" s="341">
        <f t="shared" si="4"/>
        <v>292119.79946939379</v>
      </c>
      <c r="T14" s="341">
        <f t="shared" si="4"/>
        <v>204427.22885819554</v>
      </c>
      <c r="U14" s="341">
        <f t="shared" si="4"/>
        <v>137100.31722272164</v>
      </c>
      <c r="V14" s="341">
        <f t="shared" si="4"/>
        <v>150011.54739630152</v>
      </c>
      <c r="W14" s="341">
        <f t="shared" si="4"/>
        <v>111394.00774346132</v>
      </c>
      <c r="X14" s="341">
        <f t="shared" si="4"/>
        <v>100007.69826420103</v>
      </c>
      <c r="Y14" s="341">
        <f t="shared" si="4"/>
        <v>87814.989930867698</v>
      </c>
      <c r="Z14" s="341">
        <f t="shared" si="4"/>
        <v>85687.698264201026</v>
      </c>
      <c r="AA14" s="341">
        <f t="shared" si="4"/>
        <v>100007.69826420103</v>
      </c>
      <c r="AB14" s="429">
        <f t="shared" si="4"/>
        <v>100007.69826420103</v>
      </c>
      <c r="AC14" s="504">
        <f t="shared" si="0"/>
        <v>-5450861.682277184</v>
      </c>
      <c r="AD14" s="436"/>
      <c r="AE14" s="436"/>
      <c r="AF14" s="429">
        <f t="shared" si="4"/>
        <v>-5450861.682277184</v>
      </c>
      <c r="AG14" s="521"/>
      <c r="AH14" s="497">
        <f>AH12-AH13</f>
        <v>-5982254.4846024159</v>
      </c>
      <c r="AI14" s="528">
        <f>AI12-AI13</f>
        <v>-3.0870934730952836E-2</v>
      </c>
      <c r="AJ14" s="343" t="s">
        <v>57</v>
      </c>
    </row>
    <row r="15" spans="2:42" ht="24.9" hidden="1" customHeight="1" x14ac:dyDescent="0.35">
      <c r="B15" s="472" t="s">
        <v>67</v>
      </c>
      <c r="C15" s="343" t="s">
        <v>68</v>
      </c>
      <c r="D15" s="460"/>
      <c r="E15" s="509"/>
      <c r="F15" s="503">
        <f>SUM(G15:M15)</f>
        <v>275873963.14091444</v>
      </c>
      <c r="G15" s="341">
        <f>'Education 2019'!AM38</f>
        <v>162327689.79376861</v>
      </c>
      <c r="H15" s="341">
        <f>'Education 2019'!AN38</f>
        <v>28598717.610665049</v>
      </c>
      <c r="I15" s="429">
        <f>'Education 2019'!AI38</f>
        <v>34628175.041051574</v>
      </c>
      <c r="J15" s="340">
        <f>'Education 2019'!AH38</f>
        <v>9717718.4751325287</v>
      </c>
      <c r="K15" s="436"/>
      <c r="L15" s="429">
        <f>'Education 2019'!AK38+'Education 2019'!AL38</f>
        <v>27210146.905111127</v>
      </c>
      <c r="M15" s="429">
        <f>'Education 2019'!AJ38</f>
        <v>13391515.315185539</v>
      </c>
      <c r="N15" s="503">
        <f>SUM(O15:AB15)</f>
        <v>9060028.329231007</v>
      </c>
      <c r="O15" s="341">
        <f>'Education 2019'!AO38</f>
        <v>7346694.36594819</v>
      </c>
      <c r="P15" s="341">
        <f>'Education 2019'!AP38</f>
        <v>688763.72017903591</v>
      </c>
      <c r="Q15" s="341">
        <f>'Education 2019'!AR38</f>
        <v>413258.23210742156</v>
      </c>
      <c r="R15" s="341">
        <f>'Education 2019'!AT38</f>
        <v>165671.52831170105</v>
      </c>
      <c r="S15" s="341">
        <f>'Education 2019'!AV38</f>
        <v>216294.91211451797</v>
      </c>
      <c r="T15" s="341">
        <f>'Education 2019'!AX38</f>
        <v>89229.092636867412</v>
      </c>
      <c r="U15" s="341">
        <f>'Education 2019'!AZ38</f>
        <v>37446.336669493925</v>
      </c>
      <c r="V15" s="341">
        <f>'Education 2019'!BA38</f>
        <v>9329.9406276505506</v>
      </c>
      <c r="W15" s="341">
        <f>'Education 2019'!BB38</f>
        <v>30425.148543963813</v>
      </c>
      <c r="X15" s="341">
        <f>'Education 2019'!BD38</f>
        <v>6219.9604184337004</v>
      </c>
      <c r="Y15" s="341">
        <f>'Education 2019'!BE38</f>
        <v>20851.210418433704</v>
      </c>
      <c r="Z15" s="341">
        <f>'Education 2019'!BF38</f>
        <v>23403.9604184337</v>
      </c>
      <c r="AA15" s="341">
        <f>'Education 2019'!BG38</f>
        <v>6219.9604184337004</v>
      </c>
      <c r="AB15" s="429">
        <f>'Education 2019'!BI38</f>
        <v>6219.9604184337004</v>
      </c>
      <c r="AC15" s="503">
        <f t="shared" si="0"/>
        <v>0</v>
      </c>
      <c r="AD15" s="436"/>
      <c r="AE15" s="436"/>
      <c r="AF15" s="429"/>
      <c r="AG15" s="520"/>
      <c r="AH15" s="496">
        <f>D15-E15-F15-N15-AC15</f>
        <v>-284933991.47014546</v>
      </c>
      <c r="AI15" s="527" t="e">
        <f>AH15/D15</f>
        <v>#DIV/0!</v>
      </c>
      <c r="AJ15" s="343" t="s">
        <v>68</v>
      </c>
    </row>
    <row r="16" spans="2:42" ht="24.9" hidden="1" customHeight="1" x14ac:dyDescent="0.35">
      <c r="B16" s="472" t="s">
        <v>69</v>
      </c>
      <c r="C16" s="343" t="s">
        <v>61</v>
      </c>
      <c r="D16" s="341"/>
      <c r="E16" s="429"/>
      <c r="F16" s="504">
        <f>F12-F15</f>
        <v>79938188.738487184</v>
      </c>
      <c r="G16" s="341">
        <f>G12-G15</f>
        <v>24574034.456231385</v>
      </c>
      <c r="H16" s="341">
        <f>H12-H15</f>
        <v>19574588.139334958</v>
      </c>
      <c r="I16" s="341">
        <f>I12-I15</f>
        <v>11938286.002875932</v>
      </c>
      <c r="J16" s="341">
        <f>J12-J15</f>
        <v>3730422.3693405446</v>
      </c>
      <c r="K16" s="436"/>
      <c r="L16" s="341">
        <f t="shared" ref="L16:AB16" si="5">L12-L15</f>
        <v>12354592.696735218</v>
      </c>
      <c r="M16" s="429">
        <f t="shared" si="5"/>
        <v>7766265.0739691742</v>
      </c>
      <c r="N16" s="504">
        <f t="shared" si="5"/>
        <v>2586685.6432488132</v>
      </c>
      <c r="O16" s="341">
        <f t="shared" si="5"/>
        <v>573775.96484155767</v>
      </c>
      <c r="P16" s="341">
        <f t="shared" si="5"/>
        <v>308017.70298878755</v>
      </c>
      <c r="Q16" s="341">
        <f t="shared" si="5"/>
        <v>27226.250135172915</v>
      </c>
      <c r="R16" s="341">
        <f t="shared" si="5"/>
        <v>332719.18327221065</v>
      </c>
      <c r="S16" s="341">
        <f t="shared" si="5"/>
        <v>282095.79946939379</v>
      </c>
      <c r="T16" s="341">
        <f t="shared" si="5"/>
        <v>204427.22885819554</v>
      </c>
      <c r="U16" s="341">
        <f t="shared" si="5"/>
        <v>132517.91722272162</v>
      </c>
      <c r="V16" s="341">
        <f t="shared" si="5"/>
        <v>150011.54739630152</v>
      </c>
      <c r="W16" s="341">
        <f t="shared" si="5"/>
        <v>107670.80774346131</v>
      </c>
      <c r="X16" s="341">
        <f t="shared" si="5"/>
        <v>100007.69826420103</v>
      </c>
      <c r="Y16" s="341">
        <f t="shared" si="5"/>
        <v>85376.448264201026</v>
      </c>
      <c r="Z16" s="341">
        <f t="shared" si="5"/>
        <v>82823.698264201026</v>
      </c>
      <c r="AA16" s="341">
        <f t="shared" si="5"/>
        <v>100007.69826420103</v>
      </c>
      <c r="AB16" s="429">
        <f t="shared" si="5"/>
        <v>100007.69826420103</v>
      </c>
      <c r="AC16" s="504">
        <f t="shared" si="0"/>
        <v>0</v>
      </c>
      <c r="AD16" s="438"/>
      <c r="AE16" s="438"/>
      <c r="AF16" s="429"/>
      <c r="AG16" s="521"/>
      <c r="AH16" s="497">
        <f>AH12-AH15</f>
        <v>301172617.03110355</v>
      </c>
      <c r="AI16" s="528" t="e">
        <f>AI12-AI15</f>
        <v>#DIV/0!</v>
      </c>
      <c r="AJ16" s="343" t="s">
        <v>61</v>
      </c>
    </row>
    <row r="17" spans="2:36" ht="24.9" customHeight="1" x14ac:dyDescent="0.35">
      <c r="B17" s="472" t="s">
        <v>70</v>
      </c>
      <c r="C17" s="430" t="s">
        <v>71</v>
      </c>
      <c r="D17" s="338">
        <f>'Healthcare 2022'!Q26</f>
        <v>48416554</v>
      </c>
      <c r="E17" s="507">
        <f>'Healthcare 2022'!U27</f>
        <v>0</v>
      </c>
      <c r="F17" s="501">
        <f>SUM(G17:M17)</f>
        <v>6101361.2903225813</v>
      </c>
      <c r="G17" s="336">
        <f>'Healthcare 2022'!AK29</f>
        <v>0</v>
      </c>
      <c r="H17" s="336">
        <f>'Healthcare 2022'!AL29</f>
        <v>0</v>
      </c>
      <c r="I17" s="337">
        <f>'Healthcare 2022'!AM29</f>
        <v>2440544.5161290322</v>
      </c>
      <c r="J17" s="337">
        <f>'Healthcare 2022'!AN29</f>
        <v>704003.22580645164</v>
      </c>
      <c r="K17" s="442"/>
      <c r="L17" s="337">
        <f>'Healthcare 2022'!AP29</f>
        <v>1971209.0322580645</v>
      </c>
      <c r="M17" s="337">
        <f>'Healthcare 2022'!AQ29</f>
        <v>985604.51612903224</v>
      </c>
      <c r="N17" s="501">
        <f>SUM(O17:AB17)</f>
        <v>516269.03225806454</v>
      </c>
      <c r="O17" s="336">
        <f>'Healthcare 2022'!AR29</f>
        <v>516269.03225806454</v>
      </c>
      <c r="P17" s="336">
        <f>'Healthcare 2022'!AS29</f>
        <v>0</v>
      </c>
      <c r="Q17" s="336">
        <f>'Healthcare 2022'!AT29</f>
        <v>0</v>
      </c>
      <c r="R17" s="336">
        <f>'Healthcare 2022'!AU29</f>
        <v>0</v>
      </c>
      <c r="S17" s="336">
        <f>'Healthcare 2022'!AV29</f>
        <v>0</v>
      </c>
      <c r="T17" s="336">
        <f>'Healthcare 2022'!AW29</f>
        <v>0</v>
      </c>
      <c r="U17" s="336">
        <f>'Healthcare 2022'!AX29</f>
        <v>0</v>
      </c>
      <c r="V17" s="336">
        <f>'Healthcare 2022'!AY29</f>
        <v>0</v>
      </c>
      <c r="W17" s="336">
        <f>'Healthcare 2022'!AZ29</f>
        <v>0</v>
      </c>
      <c r="X17" s="336">
        <f>'Healthcare 2022'!BA29</f>
        <v>0</v>
      </c>
      <c r="Y17" s="336">
        <f>'Healthcare 2022'!BB29</f>
        <v>0</v>
      </c>
      <c r="Z17" s="336">
        <f>'Healthcare 2022'!BC29</f>
        <v>0</v>
      </c>
      <c r="AA17" s="336">
        <f>'Healthcare 2022'!BD29</f>
        <v>0</v>
      </c>
      <c r="AB17" s="337">
        <f>'Healthcare 2022'!BE29</f>
        <v>0</v>
      </c>
      <c r="AC17" s="501">
        <f t="shared" si="0"/>
        <v>0</v>
      </c>
      <c r="AD17" s="336">
        <f>'Healthcare 2022'!BF29</f>
        <v>0</v>
      </c>
      <c r="AE17" s="336">
        <f>'Healthcare 2022'!BG29</f>
        <v>0</v>
      </c>
      <c r="AF17" s="337">
        <f>'Healthcare 2022'!BH29</f>
        <v>0</v>
      </c>
      <c r="AG17" s="519"/>
      <c r="AH17" s="495">
        <f>D17-E17-F17-N17-AC17</f>
        <v>41798923.677419357</v>
      </c>
      <c r="AI17" s="529">
        <f>AH17/D17</f>
        <v>0.86331884911551859</v>
      </c>
      <c r="AJ17" s="430" t="s">
        <v>71</v>
      </c>
    </row>
    <row r="18" spans="2:36" ht="24.9" customHeight="1" x14ac:dyDescent="0.35">
      <c r="B18" s="472" t="s">
        <v>72</v>
      </c>
      <c r="C18" s="343" t="s">
        <v>73</v>
      </c>
      <c r="D18" s="460">
        <f>'Healthcare 2019 '!G9</f>
        <v>577571310.69999993</v>
      </c>
      <c r="E18" s="509">
        <f>'Healthcare 2019 '!I9</f>
        <v>170000000</v>
      </c>
      <c r="F18" s="503">
        <f>SUM(G18:M18)</f>
        <v>42075159.479785129</v>
      </c>
      <c r="G18" s="341">
        <f>'Healthcare 2019 '!AM9</f>
        <v>21625278.484591462</v>
      </c>
      <c r="H18" s="341">
        <f>'Healthcare 2019 '!AN9</f>
        <v>3816225.6149279047</v>
      </c>
      <c r="I18" s="429">
        <f>'Healthcare 2019 '!AI9</f>
        <v>6614791.0658750357</v>
      </c>
      <c r="J18" s="340">
        <f>'Healthcare 2019 '!AH9</f>
        <v>1908112.8074639523</v>
      </c>
      <c r="K18" s="436"/>
      <c r="L18" s="429">
        <f>'Healthcare 2019 '!AK9+'Healthcare 2019 '!AL9</f>
        <v>5439393.5764772408</v>
      </c>
      <c r="M18" s="429">
        <f>'Healthcare 2019 '!AJ9</f>
        <v>2671357.9304495337</v>
      </c>
      <c r="N18" s="503">
        <f>SUM(O18:AB18)</f>
        <v>2406766.2878145329</v>
      </c>
      <c r="O18" s="341">
        <f>'Healthcare 2019 '!AO9</f>
        <v>1653697.7664687589</v>
      </c>
      <c r="P18" s="341">
        <f>'Healthcare 2019 '!AP9</f>
        <v>178090.52869663556</v>
      </c>
      <c r="Q18" s="341">
        <f>'Healthcare 2019 '!AR9</f>
        <v>106854.31721798134</v>
      </c>
      <c r="R18" s="341">
        <f>'Healthcare 2019 '!AT9</f>
        <v>89045.264348317782</v>
      </c>
      <c r="S18" s="341">
        <f>'Healthcare 2019 '!AV9</f>
        <v>89045.264348317782</v>
      </c>
      <c r="T18" s="341">
        <f>'Healthcare 2019 '!AX9</f>
        <v>50883.008199038726</v>
      </c>
      <c r="U18" s="341">
        <f>'Healthcare 2019 '!AZ9</f>
        <v>40706.406559230985</v>
      </c>
      <c r="V18" s="341">
        <f>'Healthcare 2019 '!BA9</f>
        <v>38162.256149279048</v>
      </c>
      <c r="W18" s="341">
        <f>'Healthcare 2019 '!BB9</f>
        <v>33073.955329375174</v>
      </c>
      <c r="X18" s="341">
        <f>'Healthcare 2019 '!BD9</f>
        <v>25441.504099519363</v>
      </c>
      <c r="Y18" s="341">
        <f>'Healthcare 2019 '!BE9</f>
        <v>25441.504099519363</v>
      </c>
      <c r="Z18" s="341">
        <f>'Healthcare 2019 '!BF9</f>
        <v>25441.504099519363</v>
      </c>
      <c r="AA18" s="341">
        <f>'Healthcare 2019 '!BG9</f>
        <v>25441.504099519363</v>
      </c>
      <c r="AB18" s="429">
        <f>'Healthcare 2019 '!BI9</f>
        <v>25441.504099519363</v>
      </c>
      <c r="AC18" s="503">
        <f t="shared" si="0"/>
        <v>0</v>
      </c>
      <c r="AD18" s="436"/>
      <c r="AE18" s="436"/>
      <c r="AF18" s="429">
        <f>'Healthcare 2019 '!BJ9</f>
        <v>0</v>
      </c>
      <c r="AG18" s="520"/>
      <c r="AH18" s="496">
        <f>D18-E18-F18-N18-AC18</f>
        <v>363089384.93240023</v>
      </c>
      <c r="AI18" s="527">
        <f>AH18/D18</f>
        <v>0.62864858105979371</v>
      </c>
      <c r="AJ18" s="343" t="s">
        <v>73</v>
      </c>
    </row>
    <row r="19" spans="2:36" ht="24.9" customHeight="1" x14ac:dyDescent="0.35">
      <c r="B19" s="472" t="s">
        <v>74</v>
      </c>
      <c r="C19" s="343" t="s">
        <v>57</v>
      </c>
      <c r="D19" s="341">
        <f>D17-D18</f>
        <v>-529154756.69999993</v>
      </c>
      <c r="E19" s="429">
        <f>(E16+E17)-E18</f>
        <v>-170000000</v>
      </c>
      <c r="F19" s="504">
        <f>F17-F18</f>
        <v>-35973798.18946255</v>
      </c>
      <c r="G19" s="341">
        <f>G17-G18</f>
        <v>-21625278.484591462</v>
      </c>
      <c r="H19" s="341">
        <f>H17-H18</f>
        <v>-3816225.6149279047</v>
      </c>
      <c r="I19" s="341">
        <f>I17-I18</f>
        <v>-4174246.5497460035</v>
      </c>
      <c r="J19" s="341">
        <f>J17-J18</f>
        <v>-1204109.5816575007</v>
      </c>
      <c r="K19" s="436"/>
      <c r="L19" s="341">
        <f t="shared" ref="L19:AB19" si="6">L17-L18</f>
        <v>-3468184.5442191763</v>
      </c>
      <c r="M19" s="429">
        <f t="shared" si="6"/>
        <v>-1685753.4143205015</v>
      </c>
      <c r="N19" s="504">
        <f t="shared" si="6"/>
        <v>-1890497.2555564684</v>
      </c>
      <c r="O19" s="341">
        <f t="shared" si="6"/>
        <v>-1137428.7342106944</v>
      </c>
      <c r="P19" s="341">
        <f t="shared" si="6"/>
        <v>-178090.52869663556</v>
      </c>
      <c r="Q19" s="341">
        <f t="shared" si="6"/>
        <v>-106854.31721798134</v>
      </c>
      <c r="R19" s="341">
        <f t="shared" si="6"/>
        <v>-89045.264348317782</v>
      </c>
      <c r="S19" s="341">
        <f t="shared" si="6"/>
        <v>-89045.264348317782</v>
      </c>
      <c r="T19" s="341">
        <f t="shared" si="6"/>
        <v>-50883.008199038726</v>
      </c>
      <c r="U19" s="341">
        <f t="shared" si="6"/>
        <v>-40706.406559230985</v>
      </c>
      <c r="V19" s="341">
        <f t="shared" si="6"/>
        <v>-38162.256149279048</v>
      </c>
      <c r="W19" s="341">
        <f t="shared" si="6"/>
        <v>-33073.955329375174</v>
      </c>
      <c r="X19" s="341">
        <f t="shared" si="6"/>
        <v>-25441.504099519363</v>
      </c>
      <c r="Y19" s="341">
        <f t="shared" si="6"/>
        <v>-25441.504099519363</v>
      </c>
      <c r="Z19" s="341">
        <f t="shared" si="6"/>
        <v>-25441.504099519363</v>
      </c>
      <c r="AA19" s="341">
        <f t="shared" si="6"/>
        <v>-25441.504099519363</v>
      </c>
      <c r="AB19" s="429">
        <f t="shared" si="6"/>
        <v>-25441.504099519363</v>
      </c>
      <c r="AC19" s="504">
        <f t="shared" si="0"/>
        <v>0</v>
      </c>
      <c r="AD19" s="436"/>
      <c r="AE19" s="436"/>
      <c r="AF19" s="429">
        <f>AF17-AF18</f>
        <v>0</v>
      </c>
      <c r="AG19" s="521"/>
      <c r="AH19" s="497">
        <f>AH17-AH18</f>
        <v>-321290461.25498086</v>
      </c>
      <c r="AI19" s="528">
        <f>AI17-AI18</f>
        <v>0.23467026805572488</v>
      </c>
      <c r="AJ19" s="343" t="s">
        <v>57</v>
      </c>
    </row>
    <row r="20" spans="2:36" ht="24.9" hidden="1" customHeight="1" x14ac:dyDescent="0.35">
      <c r="B20" s="472" t="s">
        <v>75</v>
      </c>
      <c r="C20" s="343" t="s">
        <v>76</v>
      </c>
      <c r="D20" s="460"/>
      <c r="E20" s="509"/>
      <c r="F20" s="503">
        <f>SUM(G20:M20)</f>
        <v>50490191.375742152</v>
      </c>
      <c r="G20" s="341">
        <f>'Healthcare 2019 '!AM13</f>
        <v>25950334.181509756</v>
      </c>
      <c r="H20" s="341">
        <f>'Healthcare 2019 '!AN13</f>
        <v>4579470.7379134856</v>
      </c>
      <c r="I20" s="429">
        <f>'Healthcare 2019 '!AI13</f>
        <v>7937749.2790500429</v>
      </c>
      <c r="J20" s="340">
        <f>'Healthcare 2019 '!AH13</f>
        <v>2289735.3689567428</v>
      </c>
      <c r="K20" s="436"/>
      <c r="L20" s="429">
        <f>'Healthcare 2019 '!AK13+'Healthcare 2019 '!AL13</f>
        <v>6527272.2917726897</v>
      </c>
      <c r="M20" s="429">
        <f>'Healthcare 2019 '!AJ13</f>
        <v>3205629.5165394405</v>
      </c>
      <c r="N20" s="503">
        <f>SUM(O20:AB20)</f>
        <v>2888119.5453774384</v>
      </c>
      <c r="O20" s="341">
        <f>'Healthcare 2019 '!AO13</f>
        <v>1984437.3197625107</v>
      </c>
      <c r="P20" s="341">
        <f>'Healthcare 2019 '!AP13</f>
        <v>213708.63443596268</v>
      </c>
      <c r="Q20" s="341">
        <f>'Healthcare 2019 '!AR13</f>
        <v>128225.18066157761</v>
      </c>
      <c r="R20" s="341">
        <f>'Healthcare 2019 '!AT13</f>
        <v>106854.31721798134</v>
      </c>
      <c r="S20" s="341">
        <f>'Healthcare 2019 '!AV13</f>
        <v>106854.31721798134</v>
      </c>
      <c r="T20" s="341">
        <f>'Healthcare 2019 '!AX13</f>
        <v>61059.609838846474</v>
      </c>
      <c r="U20" s="341">
        <f>'Healthcare 2019 '!AZ13</f>
        <v>48847.687871077185</v>
      </c>
      <c r="V20" s="341">
        <f>'Healthcare 2019 '!BA13</f>
        <v>45794.707379134859</v>
      </c>
      <c r="W20" s="341">
        <f>'Healthcare 2019 '!BB13</f>
        <v>39688.746395250208</v>
      </c>
      <c r="X20" s="341">
        <f>'Healthcare 2019 '!BD13</f>
        <v>30529.804919423237</v>
      </c>
      <c r="Y20" s="341">
        <f>'Healthcare 2019 '!BE13</f>
        <v>30529.804919423237</v>
      </c>
      <c r="Z20" s="341">
        <f>'Healthcare 2019 '!BF13</f>
        <v>30529.804919423237</v>
      </c>
      <c r="AA20" s="341">
        <f>'Healthcare 2019 '!BG13</f>
        <v>30529.804919423237</v>
      </c>
      <c r="AB20" s="429">
        <f>'Healthcare 2019 '!BI13</f>
        <v>30529.804919423237</v>
      </c>
      <c r="AC20" s="503">
        <f t="shared" si="0"/>
        <v>0</v>
      </c>
      <c r="AD20" s="436"/>
      <c r="AE20" s="436"/>
      <c r="AF20" s="429">
        <f>'Healthcare 2019 '!BJ13</f>
        <v>0</v>
      </c>
      <c r="AG20" s="520"/>
      <c r="AH20" s="496">
        <f>D20-E20-F20-N20-AC20</f>
        <v>-53378310.921119593</v>
      </c>
      <c r="AI20" s="527" t="e">
        <f>AH20/D20</f>
        <v>#DIV/0!</v>
      </c>
      <c r="AJ20" s="343" t="s">
        <v>76</v>
      </c>
    </row>
    <row r="21" spans="2:36" ht="24.9" hidden="1" customHeight="1" x14ac:dyDescent="0.35">
      <c r="B21" s="472" t="s">
        <v>77</v>
      </c>
      <c r="C21" s="343" t="s">
        <v>61</v>
      </c>
      <c r="D21" s="341"/>
      <c r="E21" s="429"/>
      <c r="F21" s="504">
        <f>F17-F20</f>
        <v>-44388830.085419573</v>
      </c>
      <c r="G21" s="341">
        <f>G17-G20</f>
        <v>-25950334.181509756</v>
      </c>
      <c r="H21" s="341">
        <f t="shared" ref="H21:AB21" si="7">H17-H20</f>
        <v>-4579470.7379134856</v>
      </c>
      <c r="I21" s="341">
        <f t="shared" si="7"/>
        <v>-5497204.7629210111</v>
      </c>
      <c r="J21" s="341">
        <f t="shared" si="7"/>
        <v>-1585732.1431502912</v>
      </c>
      <c r="K21" s="436"/>
      <c r="L21" s="341">
        <f t="shared" si="7"/>
        <v>-4556063.2595146252</v>
      </c>
      <c r="M21" s="429">
        <f t="shared" si="7"/>
        <v>-2220025.0004104082</v>
      </c>
      <c r="N21" s="504">
        <f t="shared" si="7"/>
        <v>-2371850.5131193739</v>
      </c>
      <c r="O21" s="341">
        <f t="shared" si="7"/>
        <v>-1468168.2875044462</v>
      </c>
      <c r="P21" s="341">
        <f t="shared" si="7"/>
        <v>-213708.63443596268</v>
      </c>
      <c r="Q21" s="341">
        <f t="shared" si="7"/>
        <v>-128225.18066157761</v>
      </c>
      <c r="R21" s="341">
        <f t="shared" si="7"/>
        <v>-106854.31721798134</v>
      </c>
      <c r="S21" s="341">
        <f t="shared" si="7"/>
        <v>-106854.31721798134</v>
      </c>
      <c r="T21" s="341">
        <f t="shared" si="7"/>
        <v>-61059.609838846474</v>
      </c>
      <c r="U21" s="341">
        <f t="shared" si="7"/>
        <v>-48847.687871077185</v>
      </c>
      <c r="V21" s="341">
        <f t="shared" si="7"/>
        <v>-45794.707379134859</v>
      </c>
      <c r="W21" s="341">
        <f t="shared" si="7"/>
        <v>-39688.746395250208</v>
      </c>
      <c r="X21" s="341">
        <f t="shared" si="7"/>
        <v>-30529.804919423237</v>
      </c>
      <c r="Y21" s="341">
        <f t="shared" si="7"/>
        <v>-30529.804919423237</v>
      </c>
      <c r="Z21" s="341">
        <f t="shared" si="7"/>
        <v>-30529.804919423237</v>
      </c>
      <c r="AA21" s="341">
        <f t="shared" si="7"/>
        <v>-30529.804919423237</v>
      </c>
      <c r="AB21" s="429">
        <f t="shared" si="7"/>
        <v>-30529.804919423237</v>
      </c>
      <c r="AC21" s="504">
        <f t="shared" si="0"/>
        <v>0</v>
      </c>
      <c r="AD21" s="438"/>
      <c r="AE21" s="438"/>
      <c r="AF21" s="429"/>
      <c r="AG21" s="521"/>
      <c r="AH21" s="497">
        <f>AH17-AH20</f>
        <v>95177234.59853895</v>
      </c>
      <c r="AI21" s="528" t="e">
        <f>AI17-AI20</f>
        <v>#DIV/0!</v>
      </c>
      <c r="AJ21" s="343" t="s">
        <v>61</v>
      </c>
    </row>
    <row r="22" spans="2:36" ht="24.9" customHeight="1" x14ac:dyDescent="0.35">
      <c r="B22" s="472" t="s">
        <v>78</v>
      </c>
      <c r="C22" s="430" t="s">
        <v>79</v>
      </c>
      <c r="D22" s="338">
        <f>'Emergency Services 2022'!Q15</f>
        <v>13900000</v>
      </c>
      <c r="E22" s="507">
        <f>'Emergency Services 2022'!U16</f>
        <v>0</v>
      </c>
      <c r="F22" s="501">
        <f>SUM(G22:M22)</f>
        <v>1745404</v>
      </c>
      <c r="G22" s="336">
        <f>'Emergency Services 2022'!AK18</f>
        <v>1483593</v>
      </c>
      <c r="H22" s="336">
        <f>'Emergency Services 2022'!AL18</f>
        <v>261811</v>
      </c>
      <c r="I22" s="337">
        <f>'Emergency Services 2022'!AM18</f>
        <v>0</v>
      </c>
      <c r="J22" s="337">
        <f>'Emergency Services 2022'!AN18</f>
        <v>0</v>
      </c>
      <c r="K22" s="442"/>
      <c r="L22" s="337">
        <f>'Emergency Services 2022'!AP18</f>
        <v>0</v>
      </c>
      <c r="M22" s="337">
        <f>'Emergency Services 2022'!AQ18</f>
        <v>0</v>
      </c>
      <c r="N22" s="501">
        <f>SUM(O22:AB22)</f>
        <v>0</v>
      </c>
      <c r="O22" s="336">
        <f>'Emergency Services 2022'!AR18</f>
        <v>0</v>
      </c>
      <c r="P22" s="336">
        <f>'Emergency Services 2022'!AS18</f>
        <v>0</v>
      </c>
      <c r="Q22" s="336">
        <f>'Emergency Services 2022'!AT18</f>
        <v>0</v>
      </c>
      <c r="R22" s="336">
        <f>'Emergency Services 2022'!AU18</f>
        <v>0</v>
      </c>
      <c r="S22" s="336">
        <f>'Emergency Services 2022'!AV18</f>
        <v>0</v>
      </c>
      <c r="T22" s="336">
        <f>'Emergency Services 2022'!AW18</f>
        <v>0</v>
      </c>
      <c r="U22" s="336">
        <f>'Emergency Services 2022'!AX18</f>
        <v>0</v>
      </c>
      <c r="V22" s="336">
        <f>'Emergency Services 2022'!AY18</f>
        <v>0</v>
      </c>
      <c r="W22" s="336">
        <f>'Emergency Services 2022'!AZ18</f>
        <v>0</v>
      </c>
      <c r="X22" s="336">
        <f>'Emergency Services 2022'!BA18</f>
        <v>0</v>
      </c>
      <c r="Y22" s="336">
        <f>'Emergency Services 2022'!BB18</f>
        <v>0</v>
      </c>
      <c r="Z22" s="336">
        <f>'Emergency Services 2022'!BC18</f>
        <v>0</v>
      </c>
      <c r="AA22" s="336">
        <f>'Emergency Services 2022'!BD18</f>
        <v>0</v>
      </c>
      <c r="AB22" s="337">
        <f>'Emergency Services 2022'!BE18</f>
        <v>0</v>
      </c>
      <c r="AC22" s="501">
        <f t="shared" si="0"/>
        <v>0</v>
      </c>
      <c r="AD22" s="336">
        <f>'Emergency Services 2022'!BF18</f>
        <v>0</v>
      </c>
      <c r="AE22" s="336">
        <f>'Emergency Services 2022'!BG18</f>
        <v>0</v>
      </c>
      <c r="AF22" s="337">
        <f>'Emergency Services 2022'!BH18</f>
        <v>0</v>
      </c>
      <c r="AG22" s="519"/>
      <c r="AH22" s="495">
        <f>D22-E22-F22-N22-AC22</f>
        <v>12154596</v>
      </c>
      <c r="AI22" s="529">
        <f>AH22/D22</f>
        <v>0.87443136690647483</v>
      </c>
      <c r="AJ22" s="430" t="s">
        <v>79</v>
      </c>
    </row>
    <row r="23" spans="2:36" ht="24.9" customHeight="1" x14ac:dyDescent="0.35">
      <c r="B23" s="472" t="s">
        <v>80</v>
      </c>
      <c r="C23" s="343" t="s">
        <v>81</v>
      </c>
      <c r="D23" s="460">
        <f>'Emergency Services 2019'!G4</f>
        <v>31000000</v>
      </c>
      <c r="E23" s="509">
        <f>'Emergency Services 2019'!I4</f>
        <v>0</v>
      </c>
      <c r="F23" s="503">
        <f>SUM(G23:M23)</f>
        <v>14913835.233884107</v>
      </c>
      <c r="G23" s="341">
        <f>'Emergency Services 2019'!AM4</f>
        <v>7665231.5569001632</v>
      </c>
      <c r="H23" s="341">
        <f>'Emergency Services 2019'!AN4</f>
        <v>1352687.9218059112</v>
      </c>
      <c r="I23" s="429">
        <f>'Emergency Services 2019'!AI4</f>
        <v>2344659.0644635791</v>
      </c>
      <c r="J23" s="340">
        <f>'Emergency Services 2019'!AH4</f>
        <v>676343.96090295562</v>
      </c>
      <c r="K23" s="436"/>
      <c r="L23" s="429">
        <f>'Emergency Services 2019'!AK4+'Emergency Services 2019'!AL4</f>
        <v>1928031.1845473587</v>
      </c>
      <c r="M23" s="429">
        <f>'Emergency Services 2019'!AJ4</f>
        <v>946881.54526413768</v>
      </c>
      <c r="N23" s="503">
        <f>SUM(O23:AB23)</f>
        <v>586164.76611589477</v>
      </c>
      <c r="O23" s="341">
        <f>'Emergency Services 2019'!AO4</f>
        <v>586164.76611589477</v>
      </c>
      <c r="P23" s="341">
        <f>'Emergency Services 2019'!AP4</f>
        <v>0</v>
      </c>
      <c r="Q23" s="341">
        <f>'Emergency Services 2019'!AR4</f>
        <v>0</v>
      </c>
      <c r="R23" s="341">
        <f>'Emergency Services 2019'!AT4</f>
        <v>0</v>
      </c>
      <c r="S23" s="341">
        <f>'Emergency Services 2019'!AV4</f>
        <v>0</v>
      </c>
      <c r="T23" s="341">
        <f>'Emergency Services 2019'!AX4</f>
        <v>0</v>
      </c>
      <c r="U23" s="341">
        <f>'Emergency Services 2019'!AZ4</f>
        <v>0</v>
      </c>
      <c r="V23" s="341">
        <f>'Emergency Services 2019'!BA4</f>
        <v>0</v>
      </c>
      <c r="W23" s="341">
        <f>'Emergency Services 2019'!BB4</f>
        <v>0</v>
      </c>
      <c r="X23" s="341">
        <f>'Emergency Services 2019'!BD4</f>
        <v>0</v>
      </c>
      <c r="Y23" s="341">
        <f>'Emergency Services 2019'!BE4</f>
        <v>0</v>
      </c>
      <c r="Z23" s="341">
        <f>'Emergency Services 2019'!BF4</f>
        <v>0</v>
      </c>
      <c r="AA23" s="341">
        <f>'Emergency Services 2019'!BG4</f>
        <v>0</v>
      </c>
      <c r="AB23" s="429">
        <f>'Emergency Services 2019'!BI4</f>
        <v>0</v>
      </c>
      <c r="AC23" s="503">
        <f t="shared" si="0"/>
        <v>0</v>
      </c>
      <c r="AD23" s="436"/>
      <c r="AE23" s="436"/>
      <c r="AF23" s="429">
        <f>'Emergency Services 2019'!BJ4</f>
        <v>0</v>
      </c>
      <c r="AG23" s="520"/>
      <c r="AH23" s="496">
        <f>D23-E23-F23-N23-AC23</f>
        <v>15499999.999999998</v>
      </c>
      <c r="AI23" s="527">
        <f>AH23/D23</f>
        <v>0.49999999999999994</v>
      </c>
      <c r="AJ23" s="343" t="s">
        <v>81</v>
      </c>
    </row>
    <row r="24" spans="2:36" ht="24.9" customHeight="1" x14ac:dyDescent="0.35">
      <c r="B24" s="472" t="s">
        <v>82</v>
      </c>
      <c r="C24" s="343" t="s">
        <v>57</v>
      </c>
      <c r="D24" s="341">
        <f>D22-D23</f>
        <v>-17100000</v>
      </c>
      <c r="E24" s="429">
        <f>(E21+E22)-E23</f>
        <v>0</v>
      </c>
      <c r="F24" s="504">
        <f>F22-F23</f>
        <v>-13168431.233884107</v>
      </c>
      <c r="G24" s="341">
        <f>G22-G23</f>
        <v>-6181638.5569001632</v>
      </c>
      <c r="H24" s="341">
        <f>H22-H23</f>
        <v>-1090876.9218059112</v>
      </c>
      <c r="I24" s="341">
        <f>I22-I23</f>
        <v>-2344659.0644635791</v>
      </c>
      <c r="J24" s="341">
        <f>J22-J23</f>
        <v>-676343.96090295562</v>
      </c>
      <c r="K24" s="436"/>
      <c r="L24" s="341">
        <f t="shared" ref="L24:AB24" si="8">L22-L23</f>
        <v>-1928031.1845473587</v>
      </c>
      <c r="M24" s="429">
        <f t="shared" si="8"/>
        <v>-946881.54526413768</v>
      </c>
      <c r="N24" s="504">
        <f t="shared" si="8"/>
        <v>-586164.76611589477</v>
      </c>
      <c r="O24" s="341">
        <f t="shared" si="8"/>
        <v>-586164.76611589477</v>
      </c>
      <c r="P24" s="341">
        <f t="shared" si="8"/>
        <v>0</v>
      </c>
      <c r="Q24" s="341">
        <f t="shared" si="8"/>
        <v>0</v>
      </c>
      <c r="R24" s="341">
        <f t="shared" si="8"/>
        <v>0</v>
      </c>
      <c r="S24" s="341">
        <f t="shared" si="8"/>
        <v>0</v>
      </c>
      <c r="T24" s="341">
        <f t="shared" si="8"/>
        <v>0</v>
      </c>
      <c r="U24" s="341">
        <f t="shared" si="8"/>
        <v>0</v>
      </c>
      <c r="V24" s="341">
        <f t="shared" si="8"/>
        <v>0</v>
      </c>
      <c r="W24" s="341">
        <f t="shared" si="8"/>
        <v>0</v>
      </c>
      <c r="X24" s="341">
        <f t="shared" si="8"/>
        <v>0</v>
      </c>
      <c r="Y24" s="341">
        <f t="shared" si="8"/>
        <v>0</v>
      </c>
      <c r="Z24" s="341">
        <f t="shared" si="8"/>
        <v>0</v>
      </c>
      <c r="AA24" s="341">
        <f t="shared" si="8"/>
        <v>0</v>
      </c>
      <c r="AB24" s="429">
        <f t="shared" si="8"/>
        <v>0</v>
      </c>
      <c r="AC24" s="504">
        <f t="shared" si="0"/>
        <v>0</v>
      </c>
      <c r="AD24" s="436"/>
      <c r="AE24" s="436"/>
      <c r="AF24" s="429">
        <f>AF22-AF23</f>
        <v>0</v>
      </c>
      <c r="AG24" s="521"/>
      <c r="AH24" s="497">
        <f>AH22-AH23</f>
        <v>-3345403.9999999981</v>
      </c>
      <c r="AI24" s="528">
        <f>AI22-AI23</f>
        <v>0.37443136690647488</v>
      </c>
      <c r="AJ24" s="343" t="s">
        <v>57</v>
      </c>
    </row>
    <row r="25" spans="2:36" ht="24.9" hidden="1" customHeight="1" x14ac:dyDescent="0.35">
      <c r="B25" s="472" t="s">
        <v>83</v>
      </c>
      <c r="C25" s="343" t="s">
        <v>84</v>
      </c>
      <c r="D25" s="460"/>
      <c r="E25" s="509"/>
      <c r="F25" s="503">
        <f>SUM(G25:M25)</f>
        <v>17896602.280660927</v>
      </c>
      <c r="G25" s="341">
        <f>'Emergency Services 2019'!AM8</f>
        <v>9198277.8682801966</v>
      </c>
      <c r="H25" s="341">
        <f>'Emergency Services 2019'!AN8</f>
        <v>1623225.5061670935</v>
      </c>
      <c r="I25" s="429">
        <f>'Emergency Services 2019'!AI8</f>
        <v>2813590.877356295</v>
      </c>
      <c r="J25" s="340">
        <f>'Emergency Services 2019'!AH8</f>
        <v>811612.75308354676</v>
      </c>
      <c r="K25" s="436"/>
      <c r="L25" s="429">
        <f>'Emergency Services 2019'!AK8+'Emergency Services 2019'!AL8</f>
        <v>2313637.4214568306</v>
      </c>
      <c r="M25" s="429">
        <f>'Emergency Services 2019'!AJ8</f>
        <v>1136257.8543169652</v>
      </c>
      <c r="N25" s="503">
        <f>SUM(O25:AB25)</f>
        <v>703397.71933907375</v>
      </c>
      <c r="O25" s="341">
        <f>'Emergency Services 2019'!AO8</f>
        <v>703397.71933907375</v>
      </c>
      <c r="P25" s="341">
        <f>'Emergency Services 2019'!AP8</f>
        <v>0</v>
      </c>
      <c r="Q25" s="341">
        <f>'Emergency Services 2019'!AR8</f>
        <v>0</v>
      </c>
      <c r="R25" s="341">
        <f>'Emergency Services 2019'!AT8</f>
        <v>0</v>
      </c>
      <c r="S25" s="341">
        <f>'Emergency Services 2019'!AV8</f>
        <v>0</v>
      </c>
      <c r="T25" s="341">
        <f>'Emergency Services 2019'!AX8</f>
        <v>0</v>
      </c>
      <c r="U25" s="341">
        <f>'Emergency Services 2019'!AZ8</f>
        <v>0</v>
      </c>
      <c r="V25" s="341">
        <f>'Emergency Services 2019'!BA8</f>
        <v>0</v>
      </c>
      <c r="W25" s="341">
        <f>'Emergency Services 2019'!BB8</f>
        <v>0</v>
      </c>
      <c r="X25" s="341">
        <f>'Emergency Services 2019'!BD8</f>
        <v>0</v>
      </c>
      <c r="Y25" s="341">
        <f>'Emergency Services 2019'!BE8</f>
        <v>0</v>
      </c>
      <c r="Z25" s="341">
        <f>'Emergency Services 2019'!BF8</f>
        <v>0</v>
      </c>
      <c r="AA25" s="341">
        <f>'Emergency Services 2019'!BG8</f>
        <v>0</v>
      </c>
      <c r="AB25" s="429">
        <f>'Emergency Services 2019'!BI8</f>
        <v>0</v>
      </c>
      <c r="AC25" s="503">
        <f t="shared" si="0"/>
        <v>0</v>
      </c>
      <c r="AD25" s="436"/>
      <c r="AE25" s="436"/>
      <c r="AF25" s="429">
        <f>'Emergency Services 2019'!BJ8</f>
        <v>0</v>
      </c>
      <c r="AG25" s="520"/>
      <c r="AH25" s="496">
        <f>D25-E25-F25-N25-AC25</f>
        <v>-18600000</v>
      </c>
      <c r="AI25" s="527" t="e">
        <f>AH25/D25</f>
        <v>#DIV/0!</v>
      </c>
      <c r="AJ25" s="343" t="s">
        <v>84</v>
      </c>
    </row>
    <row r="26" spans="2:36" ht="24.9" hidden="1" customHeight="1" x14ac:dyDescent="0.35">
      <c r="B26" s="472" t="s">
        <v>85</v>
      </c>
      <c r="C26" s="343" t="s">
        <v>61</v>
      </c>
      <c r="D26" s="341"/>
      <c r="E26" s="429"/>
      <c r="F26" s="504">
        <f>F22-F25</f>
        <v>-16151198.280660927</v>
      </c>
      <c r="G26" s="341">
        <f>G22-G25</f>
        <v>-7714684.8682801966</v>
      </c>
      <c r="H26" s="341">
        <f t="shared" ref="H26:AB26" si="9">H22-H25</f>
        <v>-1361414.5061670935</v>
      </c>
      <c r="I26" s="341">
        <f t="shared" si="9"/>
        <v>-2813590.877356295</v>
      </c>
      <c r="J26" s="341">
        <f t="shared" si="9"/>
        <v>-811612.75308354676</v>
      </c>
      <c r="K26" s="436"/>
      <c r="L26" s="341">
        <f t="shared" si="9"/>
        <v>-2313637.4214568306</v>
      </c>
      <c r="M26" s="429">
        <f t="shared" si="9"/>
        <v>-1136257.8543169652</v>
      </c>
      <c r="N26" s="504">
        <f t="shared" si="9"/>
        <v>-703397.71933907375</v>
      </c>
      <c r="O26" s="341">
        <f t="shared" si="9"/>
        <v>-703397.71933907375</v>
      </c>
      <c r="P26" s="341">
        <f t="shared" si="9"/>
        <v>0</v>
      </c>
      <c r="Q26" s="341">
        <f t="shared" si="9"/>
        <v>0</v>
      </c>
      <c r="R26" s="341">
        <f t="shared" si="9"/>
        <v>0</v>
      </c>
      <c r="S26" s="341">
        <f t="shared" si="9"/>
        <v>0</v>
      </c>
      <c r="T26" s="341">
        <f t="shared" si="9"/>
        <v>0</v>
      </c>
      <c r="U26" s="341">
        <f t="shared" si="9"/>
        <v>0</v>
      </c>
      <c r="V26" s="341">
        <f t="shared" si="9"/>
        <v>0</v>
      </c>
      <c r="W26" s="341">
        <f t="shared" si="9"/>
        <v>0</v>
      </c>
      <c r="X26" s="341">
        <f t="shared" si="9"/>
        <v>0</v>
      </c>
      <c r="Y26" s="341">
        <f t="shared" si="9"/>
        <v>0</v>
      </c>
      <c r="Z26" s="341">
        <f t="shared" si="9"/>
        <v>0</v>
      </c>
      <c r="AA26" s="341">
        <f t="shared" si="9"/>
        <v>0</v>
      </c>
      <c r="AB26" s="429">
        <f t="shared" si="9"/>
        <v>0</v>
      </c>
      <c r="AC26" s="504">
        <f t="shared" si="0"/>
        <v>0</v>
      </c>
      <c r="AD26" s="438"/>
      <c r="AE26" s="438"/>
      <c r="AF26" s="429"/>
      <c r="AG26" s="521"/>
      <c r="AH26" s="497">
        <f>AH22-AH25</f>
        <v>30754596</v>
      </c>
      <c r="AI26" s="528" t="e">
        <f>AI22-AI25</f>
        <v>#DIV/0!</v>
      </c>
      <c r="AJ26" s="343" t="s">
        <v>61</v>
      </c>
    </row>
    <row r="27" spans="2:36" ht="24.9" customHeight="1" x14ac:dyDescent="0.35">
      <c r="B27" s="472" t="s">
        <v>86</v>
      </c>
      <c r="C27" s="430" t="s">
        <v>87</v>
      </c>
      <c r="D27" s="338">
        <f>'Community Facilities 2022'!Q25</f>
        <v>58532289</v>
      </c>
      <c r="E27" s="507">
        <f>'Community Facilities 2022'!U26</f>
        <v>23038200</v>
      </c>
      <c r="F27" s="501">
        <f>SUM(G27:M27)</f>
        <v>20777394.151581243</v>
      </c>
      <c r="G27" s="336">
        <f>'Community Facilities 2022'!AK28</f>
        <v>9092979</v>
      </c>
      <c r="H27" s="336">
        <f>'Community Facilities 2022'!AL28</f>
        <v>1587827</v>
      </c>
      <c r="I27" s="336">
        <f>'Community Facilities 2022'!AM28</f>
        <v>4385135.7083936911</v>
      </c>
      <c r="J27" s="336">
        <f>'Community Facilities 2022'!AN28</f>
        <v>1264942.9928058723</v>
      </c>
      <c r="K27" s="441"/>
      <c r="L27" s="336">
        <f>'Community Facilities 2022'!AP28</f>
        <v>2964339.6335877865</v>
      </c>
      <c r="M27" s="337">
        <f>'Community Facilities 2022'!AQ28</f>
        <v>1482169.8167938932</v>
      </c>
      <c r="N27" s="501">
        <f>SUM(O27:AB27)</f>
        <v>241218.98974918213</v>
      </c>
      <c r="O27" s="336">
        <f>'Community Facilities 2022'!AR28</f>
        <v>194684.18974918211</v>
      </c>
      <c r="P27" s="336">
        <f>'Community Facilities 2022'!AS28</f>
        <v>17144.399999999998</v>
      </c>
      <c r="Q27" s="336">
        <f>'Community Facilities 2022'!AT28</f>
        <v>7347.5999999999995</v>
      </c>
      <c r="R27" s="336">
        <f>'Community Facilities 2022'!AU28</f>
        <v>8572.1999999999989</v>
      </c>
      <c r="S27" s="336">
        <f>'Community Facilities 2022'!AV28</f>
        <v>8572.1999999999989</v>
      </c>
      <c r="T27" s="336">
        <f>'Community Facilities 2022'!AW28</f>
        <v>4898.3999999999996</v>
      </c>
      <c r="U27" s="336">
        <f>'Community Facilities 2022'!AX28</f>
        <v>0</v>
      </c>
      <c r="V27" s="336">
        <f>'Community Facilities 2022'!AY28</f>
        <v>0</v>
      </c>
      <c r="W27" s="336">
        <f>'Community Facilities 2022'!AZ28</f>
        <v>0</v>
      </c>
      <c r="X27" s="336">
        <f>'Community Facilities 2022'!BA28</f>
        <v>0</v>
      </c>
      <c r="Y27" s="336">
        <f>'Community Facilities 2022'!BB28</f>
        <v>0</v>
      </c>
      <c r="Z27" s="336">
        <f>'Community Facilities 2022'!BC28</f>
        <v>0</v>
      </c>
      <c r="AA27" s="336">
        <f>'Community Facilities 2022'!BD28</f>
        <v>0</v>
      </c>
      <c r="AB27" s="337">
        <f>'Community Facilities 2022'!BE28</f>
        <v>0</v>
      </c>
      <c r="AC27" s="501">
        <f t="shared" si="0"/>
        <v>750419.05866957468</v>
      </c>
      <c r="AD27" s="336">
        <f>'Community Facilities 2022'!BF28</f>
        <v>750419.05866957468</v>
      </c>
      <c r="AE27" s="336">
        <f>'Community Facilities 2022'!BG28</f>
        <v>0</v>
      </c>
      <c r="AF27" s="337">
        <f>'Community Facilities 2022'!BH28</f>
        <v>0</v>
      </c>
      <c r="AG27" s="519"/>
      <c r="AH27" s="495">
        <f>D27-E27-F27-N27-AC27</f>
        <v>13725056.800000001</v>
      </c>
      <c r="AI27" s="529">
        <f>AH27/D27</f>
        <v>0.23448693079472768</v>
      </c>
      <c r="AJ27" s="430" t="s">
        <v>87</v>
      </c>
    </row>
    <row r="28" spans="2:36" ht="24.9" customHeight="1" x14ac:dyDescent="0.35">
      <c r="B28" s="472" t="s">
        <v>88</v>
      </c>
      <c r="C28" s="343" t="s">
        <v>89</v>
      </c>
      <c r="D28" s="460">
        <f>'Community Facilities 2019'!G16</f>
        <v>23820955.879999999</v>
      </c>
      <c r="E28" s="509">
        <f>'Community Facilities 2019'!I16</f>
        <v>0</v>
      </c>
      <c r="F28" s="503">
        <f>SUM(G28:M28)</f>
        <v>22841633.254650898</v>
      </c>
      <c r="G28" s="341">
        <f>'Community Facilities 2019'!AM16</f>
        <v>9346587.3984099515</v>
      </c>
      <c r="H28" s="341">
        <f>'Community Facilities 2019'!AN16</f>
        <v>1649397.7761899913</v>
      </c>
      <c r="I28" s="429">
        <f>'Community Facilities 2019'!AI16</f>
        <v>5241933.8036299301</v>
      </c>
      <c r="J28" s="340">
        <f>'Community Facilities 2019'!AH16</f>
        <v>1297452.058739403</v>
      </c>
      <c r="K28" s="436"/>
      <c r="L28" s="429">
        <f>'Community Facilities 2019'!AK16+'Community Facilities 2019'!AL16</f>
        <v>3545354.3354464588</v>
      </c>
      <c r="M28" s="429">
        <f>'Community Facilities 2019'!AJ16</f>
        <v>1760907.8822351645</v>
      </c>
      <c r="N28" s="503">
        <f>SUM(O28:AB28)</f>
        <v>863169.7015289485</v>
      </c>
      <c r="O28" s="341">
        <f>'Community Facilities 2019'!AO16</f>
        <v>692118.62963459687</v>
      </c>
      <c r="P28" s="341">
        <f>'Community Facilities 2019'!AP16</f>
        <v>40451.267002042674</v>
      </c>
      <c r="Q28" s="341">
        <f>'Community Facilities 2019'!AR16</f>
        <v>24270.760201225603</v>
      </c>
      <c r="R28" s="341">
        <f>'Community Facilities 2019'!AT16</f>
        <v>20225.633501021337</v>
      </c>
      <c r="S28" s="341">
        <f>'Community Facilities 2019'!AV16</f>
        <v>20225.633501021337</v>
      </c>
      <c r="T28" s="341">
        <f>'Community Facilities 2019'!AX16</f>
        <v>11557.504857726479</v>
      </c>
      <c r="U28" s="341">
        <f>'Community Facilities 2019'!AZ16</f>
        <v>9246.0038861811809</v>
      </c>
      <c r="V28" s="341">
        <f>'Community Facilities 2019'!BA16</f>
        <v>8668.1286432948582</v>
      </c>
      <c r="W28" s="341">
        <f>'Community Facilities 2019'!BB16</f>
        <v>7512.378157522211</v>
      </c>
      <c r="X28" s="341">
        <f>'Community Facilities 2019'!BD16</f>
        <v>5778.7524288632394</v>
      </c>
      <c r="Y28" s="341">
        <f>'Community Facilities 2019'!BE16</f>
        <v>5778.7524288632394</v>
      </c>
      <c r="Z28" s="341">
        <f>'Community Facilities 2019'!BF16</f>
        <v>5778.7524288632394</v>
      </c>
      <c r="AA28" s="341">
        <f>'Community Facilities 2019'!BG16</f>
        <v>5778.7524288632394</v>
      </c>
      <c r="AB28" s="429">
        <f>'Community Facilities 2019'!BI16</f>
        <v>5778.7524288632394</v>
      </c>
      <c r="AC28" s="503">
        <f t="shared" si="0"/>
        <v>0</v>
      </c>
      <c r="AD28" s="436"/>
      <c r="AE28" s="436"/>
      <c r="AF28" s="429">
        <f>'Community Facilities 2019'!BJ16</f>
        <v>0</v>
      </c>
      <c r="AG28" s="520"/>
      <c r="AH28" s="496">
        <f>D28-E28-F28-N28-AC28</f>
        <v>116152.92382015218</v>
      </c>
      <c r="AI28" s="527">
        <f>AH28/D28</f>
        <v>4.8760815647063858E-3</v>
      </c>
      <c r="AJ28" s="343" t="s">
        <v>89</v>
      </c>
    </row>
    <row r="29" spans="2:36" ht="24.9" customHeight="1" x14ac:dyDescent="0.35">
      <c r="B29" s="472" t="s">
        <v>90</v>
      </c>
      <c r="C29" s="343" t="s">
        <v>57</v>
      </c>
      <c r="D29" s="341">
        <f>D27-D28</f>
        <v>34711333.120000005</v>
      </c>
      <c r="E29" s="429">
        <f>(E26+E27)-E28</f>
        <v>23038200</v>
      </c>
      <c r="F29" s="504">
        <f>F27-F28</f>
        <v>-2064239.1030696556</v>
      </c>
      <c r="G29" s="341">
        <f>G27-G28</f>
        <v>-253608.39840995148</v>
      </c>
      <c r="H29" s="341">
        <f>H27-H28</f>
        <v>-61570.776189991273</v>
      </c>
      <c r="I29" s="341">
        <f>I27-I28</f>
        <v>-856798.09523623902</v>
      </c>
      <c r="J29" s="341">
        <f>J27-J28</f>
        <v>-32509.065933530685</v>
      </c>
      <c r="K29" s="436"/>
      <c r="L29" s="341">
        <f t="shared" ref="L29:AB29" si="10">L27-L28</f>
        <v>-581014.70185867231</v>
      </c>
      <c r="M29" s="429">
        <f t="shared" si="10"/>
        <v>-278738.06544127129</v>
      </c>
      <c r="N29" s="504">
        <f t="shared" si="10"/>
        <v>-621950.71177976637</v>
      </c>
      <c r="O29" s="341">
        <f t="shared" si="10"/>
        <v>-497434.43988541479</v>
      </c>
      <c r="P29" s="341">
        <f t="shared" si="10"/>
        <v>-23306.867002042676</v>
      </c>
      <c r="Q29" s="341">
        <f t="shared" si="10"/>
        <v>-16923.160201225604</v>
      </c>
      <c r="R29" s="341">
        <f t="shared" si="10"/>
        <v>-11653.433501021338</v>
      </c>
      <c r="S29" s="341">
        <f t="shared" si="10"/>
        <v>-11653.433501021338</v>
      </c>
      <c r="T29" s="341">
        <f t="shared" si="10"/>
        <v>-6659.1048577264792</v>
      </c>
      <c r="U29" s="341">
        <f t="shared" si="10"/>
        <v>-9246.0038861811809</v>
      </c>
      <c r="V29" s="341">
        <f t="shared" si="10"/>
        <v>-8668.1286432948582</v>
      </c>
      <c r="W29" s="341">
        <f t="shared" si="10"/>
        <v>-7512.378157522211</v>
      </c>
      <c r="X29" s="341">
        <f t="shared" si="10"/>
        <v>-5778.7524288632394</v>
      </c>
      <c r="Y29" s="341">
        <f t="shared" si="10"/>
        <v>-5778.7524288632394</v>
      </c>
      <c r="Z29" s="341">
        <f t="shared" si="10"/>
        <v>-5778.7524288632394</v>
      </c>
      <c r="AA29" s="341">
        <f t="shared" si="10"/>
        <v>-5778.7524288632394</v>
      </c>
      <c r="AB29" s="429">
        <f t="shared" si="10"/>
        <v>-5778.7524288632394</v>
      </c>
      <c r="AC29" s="504">
        <f t="shared" si="0"/>
        <v>0</v>
      </c>
      <c r="AD29" s="436"/>
      <c r="AE29" s="436"/>
      <c r="AF29" s="429">
        <f>AF27-AF28</f>
        <v>0</v>
      </c>
      <c r="AG29" s="521"/>
      <c r="AH29" s="497">
        <f>AH27-AH28</f>
        <v>13608903.876179848</v>
      </c>
      <c r="AI29" s="528">
        <f>AI27-AI28</f>
        <v>0.22961084923002129</v>
      </c>
      <c r="AJ29" s="343" t="s">
        <v>57</v>
      </c>
    </row>
    <row r="30" spans="2:36" ht="24.9" hidden="1" customHeight="1" x14ac:dyDescent="0.35">
      <c r="B30" s="472" t="s">
        <v>91</v>
      </c>
      <c r="C30" s="343" t="s">
        <v>92</v>
      </c>
      <c r="D30" s="460"/>
      <c r="E30" s="509"/>
      <c r="F30" s="503">
        <f>SUM(G30:M30)</f>
        <v>27409959.905581076</v>
      </c>
      <c r="G30" s="341">
        <f>'Community Facilities 2019'!AM20</f>
        <v>11215904.878091943</v>
      </c>
      <c r="H30" s="341">
        <f>'Community Facilities 2019'!AN20</f>
        <v>1979277.3314279895</v>
      </c>
      <c r="I30" s="429">
        <f>'Community Facilities 2019'!AI20</f>
        <v>6290320.5643559163</v>
      </c>
      <c r="J30" s="340">
        <f>'Community Facilities 2019'!AH20</f>
        <v>1556942.4704872835</v>
      </c>
      <c r="K30" s="436"/>
      <c r="L30" s="429">
        <f>'Community Facilities 2019'!AK20+'Community Facilities 2019'!AL20</f>
        <v>4254425.2025357503</v>
      </c>
      <c r="M30" s="429">
        <f>'Community Facilities 2019'!AJ20</f>
        <v>2113089.4586821976</v>
      </c>
      <c r="N30" s="503">
        <f>SUM(O30:AB30)</f>
        <v>1035803.6418347387</v>
      </c>
      <c r="O30" s="341">
        <f>'Community Facilities 2019'!AO20</f>
        <v>830542.35556151625</v>
      </c>
      <c r="P30" s="341">
        <f>'Community Facilities 2019'!AP20</f>
        <v>48541.520402451206</v>
      </c>
      <c r="Q30" s="341">
        <f>'Community Facilities 2019'!AR20</f>
        <v>29124.912241470724</v>
      </c>
      <c r="R30" s="341">
        <f>'Community Facilities 2019'!AT20</f>
        <v>24270.760201225603</v>
      </c>
      <c r="S30" s="341">
        <f>'Community Facilities 2019'!AV20</f>
        <v>24270.760201225603</v>
      </c>
      <c r="T30" s="341">
        <f>'Community Facilities 2019'!AX20</f>
        <v>13869.005829271775</v>
      </c>
      <c r="U30" s="341">
        <f>'Community Facilities 2019'!AZ20</f>
        <v>11095.204663417417</v>
      </c>
      <c r="V30" s="341">
        <f>'Community Facilities 2019'!BA20</f>
        <v>10401.75437195383</v>
      </c>
      <c r="W30" s="341">
        <f>'Community Facilities 2019'!BB20</f>
        <v>9014.8537890266525</v>
      </c>
      <c r="X30" s="341">
        <f>'Community Facilities 2019'!BD20</f>
        <v>6934.5029146358875</v>
      </c>
      <c r="Y30" s="341">
        <f>'Community Facilities 2019'!BE20</f>
        <v>6934.5029146358875</v>
      </c>
      <c r="Z30" s="341">
        <f>'Community Facilities 2019'!BF20</f>
        <v>6934.5029146358875</v>
      </c>
      <c r="AA30" s="341">
        <f>'Community Facilities 2019'!BG20</f>
        <v>6934.5029146358875</v>
      </c>
      <c r="AB30" s="429">
        <f>'Community Facilities 2019'!BI20</f>
        <v>6934.5029146358875</v>
      </c>
      <c r="AC30" s="503">
        <f t="shared" si="0"/>
        <v>0</v>
      </c>
      <c r="AD30" s="436"/>
      <c r="AE30" s="436"/>
      <c r="AF30" s="429">
        <f>'Community Facilities 2019'!BJ20</f>
        <v>0</v>
      </c>
      <c r="AG30" s="520"/>
      <c r="AH30" s="496">
        <f>D30-E30-F30-N30-AC30</f>
        <v>-28445763.547415815</v>
      </c>
      <c r="AI30" s="527" t="e">
        <f>AH30/D30</f>
        <v>#DIV/0!</v>
      </c>
      <c r="AJ30" s="343" t="s">
        <v>92</v>
      </c>
    </row>
    <row r="31" spans="2:36" ht="24.9" hidden="1" customHeight="1" x14ac:dyDescent="0.35">
      <c r="B31" s="472" t="s">
        <v>93</v>
      </c>
      <c r="C31" s="343" t="s">
        <v>61</v>
      </c>
      <c r="D31" s="341"/>
      <c r="E31" s="429"/>
      <c r="F31" s="504">
        <f>F27-F30</f>
        <v>-6632565.753999833</v>
      </c>
      <c r="G31" s="341">
        <f>G27-G30</f>
        <v>-2122925.8780919425</v>
      </c>
      <c r="H31" s="341">
        <f t="shared" ref="H31:AB31" si="11">H27-H30</f>
        <v>-391450.33142798953</v>
      </c>
      <c r="I31" s="341">
        <f t="shared" si="11"/>
        <v>-1905184.8559622252</v>
      </c>
      <c r="J31" s="341">
        <f t="shared" si="11"/>
        <v>-291999.4776814112</v>
      </c>
      <c r="K31" s="436"/>
      <c r="L31" s="341">
        <f t="shared" si="11"/>
        <v>-1290085.5689479639</v>
      </c>
      <c r="M31" s="429">
        <f t="shared" si="11"/>
        <v>-630919.64188830438</v>
      </c>
      <c r="N31" s="504">
        <f t="shared" si="11"/>
        <v>-794584.65208555653</v>
      </c>
      <c r="O31" s="341">
        <f t="shared" si="11"/>
        <v>-635858.16581233416</v>
      </c>
      <c r="P31" s="341">
        <f t="shared" si="11"/>
        <v>-31397.120402451208</v>
      </c>
      <c r="Q31" s="341">
        <f t="shared" si="11"/>
        <v>-21777.312241470725</v>
      </c>
      <c r="R31" s="341">
        <f t="shared" si="11"/>
        <v>-15698.560201225604</v>
      </c>
      <c r="S31" s="341">
        <f t="shared" si="11"/>
        <v>-15698.560201225604</v>
      </c>
      <c r="T31" s="341">
        <f t="shared" si="11"/>
        <v>-8970.6058292717753</v>
      </c>
      <c r="U31" s="341">
        <f t="shared" si="11"/>
        <v>-11095.204663417417</v>
      </c>
      <c r="V31" s="341">
        <f t="shared" si="11"/>
        <v>-10401.75437195383</v>
      </c>
      <c r="W31" s="341">
        <f t="shared" si="11"/>
        <v>-9014.8537890266525</v>
      </c>
      <c r="X31" s="341">
        <f t="shared" si="11"/>
        <v>-6934.5029146358875</v>
      </c>
      <c r="Y31" s="341">
        <f t="shared" si="11"/>
        <v>-6934.5029146358875</v>
      </c>
      <c r="Z31" s="341">
        <f t="shared" si="11"/>
        <v>-6934.5029146358875</v>
      </c>
      <c r="AA31" s="341">
        <f t="shared" si="11"/>
        <v>-6934.5029146358875</v>
      </c>
      <c r="AB31" s="429">
        <f t="shared" si="11"/>
        <v>-6934.5029146358875</v>
      </c>
      <c r="AC31" s="504">
        <f t="shared" si="0"/>
        <v>0</v>
      </c>
      <c r="AD31" s="438"/>
      <c r="AE31" s="438"/>
      <c r="AF31" s="429"/>
      <c r="AG31" s="521"/>
      <c r="AH31" s="497">
        <f>AH27-AH30</f>
        <v>42170820.34741582</v>
      </c>
      <c r="AI31" s="528" t="e">
        <f>AI27-AI30</f>
        <v>#DIV/0!</v>
      </c>
      <c r="AJ31" s="343" t="s">
        <v>61</v>
      </c>
    </row>
    <row r="32" spans="2:36" ht="24.9" customHeight="1" x14ac:dyDescent="0.35">
      <c r="B32" s="472" t="s">
        <v>94</v>
      </c>
      <c r="C32" s="430" t="s">
        <v>95</v>
      </c>
      <c r="D32" s="338">
        <f>'Open Space 2022'!Q50</f>
        <v>34458575</v>
      </c>
      <c r="E32" s="507">
        <f>'Open Space 2022'!U51</f>
        <v>7892921</v>
      </c>
      <c r="F32" s="501">
        <f>SUM(G32:M32)</f>
        <v>4755226.6969696973</v>
      </c>
      <c r="G32" s="336">
        <f>'Open Space 2022'!AK53</f>
        <v>3240317</v>
      </c>
      <c r="H32" s="336">
        <f>'Open Space 2022'!AL53</f>
        <v>413140</v>
      </c>
      <c r="I32" s="336">
        <f>'Open Space 2022'!AM53</f>
        <v>78787.878787878784</v>
      </c>
      <c r="J32" s="336">
        <f>'Open Space 2022'!AN53</f>
        <v>196727.27272727274</v>
      </c>
      <c r="K32" s="441"/>
      <c r="L32" s="336">
        <f>'Open Space 2022'!AP53</f>
        <v>550836.36363636365</v>
      </c>
      <c r="M32" s="337">
        <f>'Open Space 2022'!AQ53</f>
        <v>275418.18181818182</v>
      </c>
      <c r="N32" s="501">
        <f>SUM(O32:AB32)</f>
        <v>0</v>
      </c>
      <c r="O32" s="336">
        <f>'Open Space 2022'!AR53</f>
        <v>0</v>
      </c>
      <c r="P32" s="336">
        <f>'Open Space 2022'!AS53</f>
        <v>0</v>
      </c>
      <c r="Q32" s="336">
        <f>'Open Space 2022'!AT53</f>
        <v>0</v>
      </c>
      <c r="R32" s="336">
        <f>'Open Space 2022'!AU53</f>
        <v>0</v>
      </c>
      <c r="S32" s="336">
        <f>'Open Space 2022'!AV53</f>
        <v>0</v>
      </c>
      <c r="T32" s="336">
        <f>'Open Space 2022'!AW53</f>
        <v>0</v>
      </c>
      <c r="U32" s="336">
        <f>'Open Space 2022'!AX53</f>
        <v>0</v>
      </c>
      <c r="V32" s="336">
        <f>'Open Space 2022'!AY53</f>
        <v>0</v>
      </c>
      <c r="W32" s="336">
        <f>'Open Space 2022'!AZ53</f>
        <v>0</v>
      </c>
      <c r="X32" s="336">
        <f>'Open Space 2022'!BA53</f>
        <v>0</v>
      </c>
      <c r="Y32" s="336">
        <f>'Open Space 2022'!BB53</f>
        <v>0</v>
      </c>
      <c r="Z32" s="336">
        <f>'Open Space 2022'!BC53</f>
        <v>0</v>
      </c>
      <c r="AA32" s="336">
        <f>'Open Space 2022'!BD53</f>
        <v>0</v>
      </c>
      <c r="AB32" s="337">
        <f>'Open Space 2022'!BE53</f>
        <v>0</v>
      </c>
      <c r="AC32" s="501">
        <f t="shared" si="0"/>
        <v>0</v>
      </c>
      <c r="AD32" s="336">
        <f>'Open Space 2022'!BF53</f>
        <v>0</v>
      </c>
      <c r="AE32" s="336">
        <f>'Open Space 2022'!BG53</f>
        <v>0</v>
      </c>
      <c r="AF32" s="337">
        <f>'Open Space 2022'!BH53</f>
        <v>0</v>
      </c>
      <c r="AG32" s="519"/>
      <c r="AH32" s="495">
        <f>D32-E32-F32-N32-AC32</f>
        <v>21810427.303030305</v>
      </c>
      <c r="AI32" s="529">
        <f>AH32/D32</f>
        <v>0.63294629284670956</v>
      </c>
      <c r="AJ32" s="430" t="s">
        <v>95</v>
      </c>
    </row>
    <row r="33" spans="2:36" ht="24.9" customHeight="1" x14ac:dyDescent="0.35">
      <c r="B33" s="472" t="s">
        <v>96</v>
      </c>
      <c r="C33" s="343" t="s">
        <v>97</v>
      </c>
      <c r="D33" s="460">
        <f>'Open Space 2019'!G50</f>
        <v>45821730</v>
      </c>
      <c r="E33" s="509">
        <f>'Open Space 2019'!I50</f>
        <v>0</v>
      </c>
      <c r="F33" s="503">
        <f>SUM(G33:M33)</f>
        <v>38355880</v>
      </c>
      <c r="G33" s="341">
        <f>'Open Space 2019'!AM50</f>
        <v>17105650</v>
      </c>
      <c r="H33" s="341">
        <f>'Open Space 2019'!AN50</f>
        <v>3019950</v>
      </c>
      <c r="I33" s="429">
        <f>'Open Space 2019'!AI50</f>
        <v>11428720</v>
      </c>
      <c r="J33" s="340">
        <f>'Open Space 2019'!AH50</f>
        <v>1315370</v>
      </c>
      <c r="K33" s="436"/>
      <c r="L33" s="429">
        <f>'Open Space 2019'!AK50+'Open Space 2019'!AL50</f>
        <v>3633480.0000000009</v>
      </c>
      <c r="M33" s="429">
        <f>'Open Space 2019'!AJ50</f>
        <v>1852710</v>
      </c>
      <c r="N33" s="503">
        <f>SUM(O33:AB33)</f>
        <v>4157492.6765475152</v>
      </c>
      <c r="O33" s="341">
        <f>'Open Space 2019'!AO50</f>
        <v>2856628.1604184834</v>
      </c>
      <c r="P33" s="341">
        <f>'Open Space 2019'!AP50</f>
        <v>307636.87881429819</v>
      </c>
      <c r="Q33" s="341">
        <f>'Open Space 2019'!AR50</f>
        <v>184582.12728857889</v>
      </c>
      <c r="R33" s="341">
        <f>'Open Space 2019'!AT50</f>
        <v>153818.4394071491</v>
      </c>
      <c r="S33" s="341">
        <f>'Open Space 2019'!AV50</f>
        <v>153818.4394071491</v>
      </c>
      <c r="T33" s="341">
        <f>'Open Space 2019'!AX50</f>
        <v>87896.25108979948</v>
      </c>
      <c r="U33" s="341">
        <f>'Open Space 2019'!AZ50</f>
        <v>70317.000871839584</v>
      </c>
      <c r="V33" s="341">
        <f>'Open Space 2019'!BA50</f>
        <v>65922.188317349603</v>
      </c>
      <c r="W33" s="341">
        <f>'Open Space 2019'!BB50</f>
        <v>57132.563208369662</v>
      </c>
      <c r="X33" s="341">
        <f>'Open Space 2019'!BD50</f>
        <v>43948.12554489974</v>
      </c>
      <c r="Y33" s="341">
        <f>'Open Space 2019'!BE50</f>
        <v>43948.12554489974</v>
      </c>
      <c r="Z33" s="341">
        <f>'Open Space 2019'!BF50</f>
        <v>43948.12554489974</v>
      </c>
      <c r="AA33" s="341">
        <f>'Open Space 2019'!BG50</f>
        <v>43948.12554489974</v>
      </c>
      <c r="AB33" s="429">
        <f>'Open Space 2019'!BI50</f>
        <v>43948.12554489974</v>
      </c>
      <c r="AC33" s="503">
        <f t="shared" si="0"/>
        <v>0</v>
      </c>
      <c r="AD33" s="436"/>
      <c r="AE33" s="436"/>
      <c r="AF33" s="429">
        <f>'Open Space 2019'!BJ50</f>
        <v>0</v>
      </c>
      <c r="AG33" s="520"/>
      <c r="AH33" s="496">
        <f>D33-E33-F33-N33-AC33</f>
        <v>3308357.3234524848</v>
      </c>
      <c r="AI33" s="527">
        <f>AH33/D33</f>
        <v>7.2200620174150659E-2</v>
      </c>
      <c r="AJ33" s="343" t="s">
        <v>97</v>
      </c>
    </row>
    <row r="34" spans="2:36" ht="24.9" customHeight="1" x14ac:dyDescent="0.35">
      <c r="B34" s="472" t="s">
        <v>98</v>
      </c>
      <c r="C34" s="343" t="s">
        <v>57</v>
      </c>
      <c r="D34" s="341">
        <f>D32-D33</f>
        <v>-11363155</v>
      </c>
      <c r="E34" s="429">
        <f>(E31+E32)-E33</f>
        <v>7892921</v>
      </c>
      <c r="F34" s="504">
        <f>F32-F33</f>
        <v>-33600653.303030305</v>
      </c>
      <c r="G34" s="341">
        <f>G32-G33</f>
        <v>-13865333</v>
      </c>
      <c r="H34" s="341">
        <f>H32-H33</f>
        <v>-2606810</v>
      </c>
      <c r="I34" s="341">
        <f>I32-I33</f>
        <v>-11349932.121212121</v>
      </c>
      <c r="J34" s="341">
        <f>J32-J33</f>
        <v>-1118642.7272727273</v>
      </c>
      <c r="K34" s="436"/>
      <c r="L34" s="341">
        <f t="shared" ref="L34:AB34" si="12">L32-L33</f>
        <v>-3082643.6363636372</v>
      </c>
      <c r="M34" s="429">
        <f t="shared" si="12"/>
        <v>-1577291.8181818181</v>
      </c>
      <c r="N34" s="504">
        <f t="shared" si="12"/>
        <v>-4157492.6765475152</v>
      </c>
      <c r="O34" s="341">
        <f t="shared" si="12"/>
        <v>-2856628.1604184834</v>
      </c>
      <c r="P34" s="341">
        <f t="shared" si="12"/>
        <v>-307636.87881429819</v>
      </c>
      <c r="Q34" s="341">
        <f t="shared" si="12"/>
        <v>-184582.12728857889</v>
      </c>
      <c r="R34" s="341">
        <f t="shared" si="12"/>
        <v>-153818.4394071491</v>
      </c>
      <c r="S34" s="341">
        <f t="shared" si="12"/>
        <v>-153818.4394071491</v>
      </c>
      <c r="T34" s="341">
        <f t="shared" si="12"/>
        <v>-87896.25108979948</v>
      </c>
      <c r="U34" s="341">
        <f t="shared" si="12"/>
        <v>-70317.000871839584</v>
      </c>
      <c r="V34" s="341">
        <f t="shared" si="12"/>
        <v>-65922.188317349603</v>
      </c>
      <c r="W34" s="341">
        <f t="shared" si="12"/>
        <v>-57132.563208369662</v>
      </c>
      <c r="X34" s="341">
        <f t="shared" si="12"/>
        <v>-43948.12554489974</v>
      </c>
      <c r="Y34" s="341">
        <f t="shared" si="12"/>
        <v>-43948.12554489974</v>
      </c>
      <c r="Z34" s="341">
        <f t="shared" si="12"/>
        <v>-43948.12554489974</v>
      </c>
      <c r="AA34" s="341">
        <f t="shared" si="12"/>
        <v>-43948.12554489974</v>
      </c>
      <c r="AB34" s="429">
        <f t="shared" si="12"/>
        <v>-43948.12554489974</v>
      </c>
      <c r="AC34" s="504">
        <f t="shared" si="0"/>
        <v>0</v>
      </c>
      <c r="AD34" s="436"/>
      <c r="AE34" s="436"/>
      <c r="AF34" s="429">
        <f>AF32-AF33</f>
        <v>0</v>
      </c>
      <c r="AG34" s="521"/>
      <c r="AH34" s="497">
        <f>AH32-AH33</f>
        <v>18502069.979577821</v>
      </c>
      <c r="AI34" s="528">
        <f>AI32-AI33</f>
        <v>0.56074567267255893</v>
      </c>
      <c r="AJ34" s="343" t="s">
        <v>57</v>
      </c>
    </row>
    <row r="35" spans="2:36" ht="24.9" hidden="1" customHeight="1" x14ac:dyDescent="0.35">
      <c r="B35" s="472" t="s">
        <v>99</v>
      </c>
      <c r="C35" s="343" t="s">
        <v>100</v>
      </c>
      <c r="D35" s="460"/>
      <c r="E35" s="509"/>
      <c r="F35" s="503">
        <f>SUM(G35:M35)</f>
        <v>46027056</v>
      </c>
      <c r="G35" s="341">
        <f>'Open Space 2019'!AM54</f>
        <v>20526780</v>
      </c>
      <c r="H35" s="341">
        <f>'Open Space 2019'!AN54</f>
        <v>3623940</v>
      </c>
      <c r="I35" s="429">
        <f>'Open Space 2019'!AI54</f>
        <v>13714464</v>
      </c>
      <c r="J35" s="340">
        <f>'Open Space 2019'!AH54</f>
        <v>1578444</v>
      </c>
      <c r="K35" s="436"/>
      <c r="L35" s="429">
        <f>'Open Space 2019'!AK54+'Open Space 2019'!AL54</f>
        <v>4360176.0000000009</v>
      </c>
      <c r="M35" s="429">
        <f>'Open Space 2019'!AJ54</f>
        <v>2223252</v>
      </c>
      <c r="N35" s="503">
        <f>SUM(O35:AB35)</f>
        <v>4988991.211857019</v>
      </c>
      <c r="O35" s="341">
        <f>'Open Space 2019'!AO54</f>
        <v>3427953.7925021802</v>
      </c>
      <c r="P35" s="341">
        <f>'Open Space 2019'!AP54</f>
        <v>369164.25457715784</v>
      </c>
      <c r="Q35" s="341">
        <f>'Open Space 2019'!AR54</f>
        <v>221498.55274629468</v>
      </c>
      <c r="R35" s="341">
        <f>'Open Space 2019'!AT54</f>
        <v>184582.12728857892</v>
      </c>
      <c r="S35" s="341">
        <f>'Open Space 2019'!AV54</f>
        <v>184582.12728857892</v>
      </c>
      <c r="T35" s="341">
        <f>'Open Space 2019'!AX54</f>
        <v>105475.50130775938</v>
      </c>
      <c r="U35" s="341">
        <f>'Open Space 2019'!AZ54</f>
        <v>84380.401046207495</v>
      </c>
      <c r="V35" s="341">
        <f>'Open Space 2019'!BA54</f>
        <v>79106.625980819517</v>
      </c>
      <c r="W35" s="341">
        <f>'Open Space 2019'!BB54</f>
        <v>68559.075850043591</v>
      </c>
      <c r="X35" s="341">
        <f>'Open Space 2019'!BD54</f>
        <v>52737.750653879688</v>
      </c>
      <c r="Y35" s="341">
        <f>'Open Space 2019'!BE54</f>
        <v>52737.750653879688</v>
      </c>
      <c r="Z35" s="341">
        <f>'Open Space 2019'!BF54</f>
        <v>52737.750653879688</v>
      </c>
      <c r="AA35" s="341">
        <f>'Open Space 2019'!BG54</f>
        <v>52737.750653879688</v>
      </c>
      <c r="AB35" s="429">
        <f>'Open Space 2019'!BI54</f>
        <v>52737.750653879688</v>
      </c>
      <c r="AC35" s="503">
        <f t="shared" si="0"/>
        <v>0</v>
      </c>
      <c r="AD35" s="436"/>
      <c r="AE35" s="436"/>
      <c r="AF35" s="429">
        <f>'Open Space 2019'!BJ54</f>
        <v>0</v>
      </c>
      <c r="AG35" s="520"/>
      <c r="AH35" s="496">
        <f>D35-E35-F35-N35-AC35</f>
        <v>-51016047.211857021</v>
      </c>
      <c r="AI35" s="527" t="e">
        <f>AH35/D35</f>
        <v>#DIV/0!</v>
      </c>
      <c r="AJ35" s="343" t="s">
        <v>100</v>
      </c>
    </row>
    <row r="36" spans="2:36" ht="24.9" hidden="1" customHeight="1" x14ac:dyDescent="0.35">
      <c r="B36" s="472" t="s">
        <v>101</v>
      </c>
      <c r="C36" s="343" t="s">
        <v>61</v>
      </c>
      <c r="D36" s="341"/>
      <c r="E36" s="429"/>
      <c r="F36" s="504">
        <f>F32-F35</f>
        <v>-41271829.303030305</v>
      </c>
      <c r="G36" s="341">
        <f>G32-G35</f>
        <v>-17286463</v>
      </c>
      <c r="H36" s="341">
        <f t="shared" ref="H36:AB36" si="13">H32-H35</f>
        <v>-3210800</v>
      </c>
      <c r="I36" s="341">
        <f t="shared" si="13"/>
        <v>-13635676.121212121</v>
      </c>
      <c r="J36" s="341">
        <f t="shared" si="13"/>
        <v>-1381716.7272727273</v>
      </c>
      <c r="K36" s="436"/>
      <c r="L36" s="341">
        <f t="shared" si="13"/>
        <v>-3809339.6363636372</v>
      </c>
      <c r="M36" s="429">
        <f t="shared" si="13"/>
        <v>-1947833.8181818181</v>
      </c>
      <c r="N36" s="504">
        <f t="shared" si="13"/>
        <v>-4988991.211857019</v>
      </c>
      <c r="O36" s="341">
        <f t="shared" si="13"/>
        <v>-3427953.7925021802</v>
      </c>
      <c r="P36" s="341">
        <f t="shared" si="13"/>
        <v>-369164.25457715784</v>
      </c>
      <c r="Q36" s="341">
        <f t="shared" si="13"/>
        <v>-221498.55274629468</v>
      </c>
      <c r="R36" s="341">
        <f t="shared" si="13"/>
        <v>-184582.12728857892</v>
      </c>
      <c r="S36" s="341">
        <f t="shared" si="13"/>
        <v>-184582.12728857892</v>
      </c>
      <c r="T36" s="341">
        <f t="shared" si="13"/>
        <v>-105475.50130775938</v>
      </c>
      <c r="U36" s="341">
        <f t="shared" si="13"/>
        <v>-84380.401046207495</v>
      </c>
      <c r="V36" s="341">
        <f t="shared" si="13"/>
        <v>-79106.625980819517</v>
      </c>
      <c r="W36" s="341">
        <f t="shared" si="13"/>
        <v>-68559.075850043591</v>
      </c>
      <c r="X36" s="341">
        <f t="shared" si="13"/>
        <v>-52737.750653879688</v>
      </c>
      <c r="Y36" s="341">
        <f t="shared" si="13"/>
        <v>-52737.750653879688</v>
      </c>
      <c r="Z36" s="341">
        <f t="shared" si="13"/>
        <v>-52737.750653879688</v>
      </c>
      <c r="AA36" s="341">
        <f t="shared" si="13"/>
        <v>-52737.750653879688</v>
      </c>
      <c r="AB36" s="429">
        <f t="shared" si="13"/>
        <v>-52737.750653879688</v>
      </c>
      <c r="AC36" s="504">
        <f t="shared" si="0"/>
        <v>0</v>
      </c>
      <c r="AD36" s="438"/>
      <c r="AE36" s="438"/>
      <c r="AF36" s="429"/>
      <c r="AG36" s="521"/>
      <c r="AH36" s="497">
        <f>AH32-AH35</f>
        <v>72826474.514887333</v>
      </c>
      <c r="AI36" s="528" t="e">
        <f>AI32-AI35</f>
        <v>#DIV/0!</v>
      </c>
      <c r="AJ36" s="343" t="s">
        <v>61</v>
      </c>
    </row>
    <row r="37" spans="2:36" ht="24.9" customHeight="1" x14ac:dyDescent="0.35">
      <c r="B37" s="472" t="s">
        <v>102</v>
      </c>
      <c r="C37" s="430" t="s">
        <v>103</v>
      </c>
      <c r="D37" s="338">
        <f>'Sports &amp; Leisure 2022'!Q57</f>
        <v>35763077</v>
      </c>
      <c r="E37" s="507">
        <f>'Sports &amp; Leisure 2022'!U58</f>
        <v>0</v>
      </c>
      <c r="F37" s="501">
        <f>SUM(G37:M37)</f>
        <v>22342936.929078016</v>
      </c>
      <c r="G37" s="336">
        <f>'Sports &amp; Leisure 2022'!AK60</f>
        <v>11139828</v>
      </c>
      <c r="H37" s="336">
        <f>'Sports &amp; Leisure 2022'!AL60</f>
        <v>1968499</v>
      </c>
      <c r="I37" s="336">
        <f>'Sports &amp; Leisure 2022'!AM60</f>
        <v>3693843.9716312056</v>
      </c>
      <c r="J37" s="336">
        <f>'Sports &amp; Leisure 2022'!AN60</f>
        <v>1065531.9148936169</v>
      </c>
      <c r="K37" s="441"/>
      <c r="L37" s="336">
        <f>'Sports &amp; Leisure 2022'!AP60</f>
        <v>2983489.3617021278</v>
      </c>
      <c r="M37" s="337">
        <f>'Sports &amp; Leisure 2022'!AQ60</f>
        <v>1491744.6808510639</v>
      </c>
      <c r="N37" s="501">
        <f>SUM(O37:AB37)</f>
        <v>781390.07092198578</v>
      </c>
      <c r="O37" s="336">
        <f>'Sports &amp; Leisure 2022'!AR60</f>
        <v>781390.07092198578</v>
      </c>
      <c r="P37" s="336">
        <f>'Sports &amp; Leisure 2022'!AS60</f>
        <v>0</v>
      </c>
      <c r="Q37" s="336">
        <f>'Sports &amp; Leisure 2022'!AT60</f>
        <v>0</v>
      </c>
      <c r="R37" s="336">
        <f>'Sports &amp; Leisure 2022'!AU60</f>
        <v>0</v>
      </c>
      <c r="S37" s="336">
        <f>'Sports &amp; Leisure 2022'!AV60</f>
        <v>0</v>
      </c>
      <c r="T37" s="336">
        <f>'Sports &amp; Leisure 2022'!AW60</f>
        <v>0</v>
      </c>
      <c r="U37" s="336">
        <f>'Sports &amp; Leisure 2022'!AX60</f>
        <v>0</v>
      </c>
      <c r="V37" s="336">
        <f>'Sports &amp; Leisure 2022'!AY60</f>
        <v>0</v>
      </c>
      <c r="W37" s="336">
        <f>'Sports &amp; Leisure 2022'!AZ60</f>
        <v>0</v>
      </c>
      <c r="X37" s="336">
        <f>'Sports &amp; Leisure 2022'!BA60</f>
        <v>0</v>
      </c>
      <c r="Y37" s="336">
        <f>'Sports &amp; Leisure 2022'!BB60</f>
        <v>0</v>
      </c>
      <c r="Z37" s="336">
        <f>'Sports &amp; Leisure 2022'!BC60</f>
        <v>0</v>
      </c>
      <c r="AA37" s="336">
        <f>'Sports &amp; Leisure 2022'!BD60</f>
        <v>0</v>
      </c>
      <c r="AB37" s="337">
        <f>'Sports &amp; Leisure 2022'!BE60</f>
        <v>0</v>
      </c>
      <c r="AC37" s="501">
        <f t="shared" si="0"/>
        <v>0</v>
      </c>
      <c r="AD37" s="336">
        <f>'Sports &amp; Leisure 2022'!BF60</f>
        <v>0</v>
      </c>
      <c r="AE37" s="336">
        <f>'Sports &amp; Leisure 2022'!BG60</f>
        <v>0</v>
      </c>
      <c r="AF37" s="337">
        <f>'Sports &amp; Leisure 2022'!BH60</f>
        <v>0</v>
      </c>
      <c r="AG37" s="519"/>
      <c r="AH37" s="495">
        <f>D37-E37-F37-N37-AC37</f>
        <v>12638749.999999998</v>
      </c>
      <c r="AI37" s="529">
        <f>AH37/D37</f>
        <v>0.3534021974675165</v>
      </c>
      <c r="AJ37" s="430" t="s">
        <v>103</v>
      </c>
    </row>
    <row r="38" spans="2:36" ht="24.9" customHeight="1" x14ac:dyDescent="0.35">
      <c r="B38" s="472" t="s">
        <v>104</v>
      </c>
      <c r="C38" s="343" t="s">
        <v>105</v>
      </c>
      <c r="D38" s="460">
        <f>'Sports and Leisure 2019'!G4</f>
        <v>21031680</v>
      </c>
      <c r="E38" s="509">
        <f>'Sports and Leisure 2019'!I4</f>
        <v>0</v>
      </c>
      <c r="F38" s="503">
        <f>SUM(G38:M38)</f>
        <v>20125948.224819142</v>
      </c>
      <c r="G38" s="341">
        <f>'Sports and Leisure 2019'!AM4</f>
        <v>9363328</v>
      </c>
      <c r="H38" s="341">
        <f>'Sports and Leisure 2019'!AN4</f>
        <v>1652352</v>
      </c>
      <c r="I38" s="429">
        <f>'Sports and Leisure 2019'!AI4</f>
        <v>3622927.1007234277</v>
      </c>
      <c r="J38" s="340">
        <f>'Sports and Leisure 2019'!AH4</f>
        <v>1045075.1252086811</v>
      </c>
      <c r="K38" s="436"/>
      <c r="L38" s="429">
        <f>'Sports and Leisure 2019'!AK4+'Sports and Leisure 2019'!AL4</f>
        <v>2979160.8235948803</v>
      </c>
      <c r="M38" s="429">
        <f>'Sports and Leisure 2019'!AJ4</f>
        <v>1463105.1752921536</v>
      </c>
      <c r="N38" s="503">
        <f>SUM(O38:AB38)</f>
        <v>905731.77518085693</v>
      </c>
      <c r="O38" s="341">
        <f>'Sports and Leisure 2019'!AO4</f>
        <v>905731.77518085693</v>
      </c>
      <c r="P38" s="341">
        <f>'Sports and Leisure 2019'!AP4</f>
        <v>0</v>
      </c>
      <c r="Q38" s="341">
        <f>'Sports and Leisure 2019'!AR4</f>
        <v>0</v>
      </c>
      <c r="R38" s="341">
        <f>'Sports and Leisure 2019'!AT4</f>
        <v>0</v>
      </c>
      <c r="S38" s="341">
        <f>'Sports and Leisure 2019'!AV4</f>
        <v>0</v>
      </c>
      <c r="T38" s="341">
        <f>'Sports and Leisure 2019'!AX4</f>
        <v>0</v>
      </c>
      <c r="U38" s="341">
        <f>'Sports and Leisure 2019'!AZ4</f>
        <v>0</v>
      </c>
      <c r="V38" s="341">
        <f>'Sports and Leisure 2019'!BA4</f>
        <v>0</v>
      </c>
      <c r="W38" s="341">
        <f>'Sports and Leisure 2019'!BB4</f>
        <v>0</v>
      </c>
      <c r="X38" s="341">
        <f>'Sports and Leisure 2019'!BD4</f>
        <v>0</v>
      </c>
      <c r="Y38" s="341">
        <f>'Sports and Leisure 2019'!BE4</f>
        <v>0</v>
      </c>
      <c r="Z38" s="341">
        <f>'Sports and Leisure 2019'!BF4</f>
        <v>0</v>
      </c>
      <c r="AA38" s="341">
        <f>'Sports and Leisure 2019'!BG4</f>
        <v>0</v>
      </c>
      <c r="AB38" s="429">
        <f>'Sports and Leisure 2019'!BI4</f>
        <v>0</v>
      </c>
      <c r="AC38" s="503">
        <f t="shared" si="0"/>
        <v>0</v>
      </c>
      <c r="AD38" s="436"/>
      <c r="AE38" s="436"/>
      <c r="AF38" s="429">
        <f>'Sports and Leisure 2019'!BJ4</f>
        <v>0</v>
      </c>
      <c r="AG38" s="520"/>
      <c r="AH38" s="496">
        <f>D38-E38-F38-N38-AC38</f>
        <v>6.9849193096160889E-10</v>
      </c>
      <c r="AI38" s="527">
        <f>AH38/D38</f>
        <v>3.3211418724591134E-17</v>
      </c>
      <c r="AJ38" s="343" t="s">
        <v>105</v>
      </c>
    </row>
    <row r="39" spans="2:36" ht="24.9" customHeight="1" x14ac:dyDescent="0.35">
      <c r="B39" s="472" t="s">
        <v>106</v>
      </c>
      <c r="C39" s="343" t="s">
        <v>57</v>
      </c>
      <c r="D39" s="341">
        <f>D37-D38</f>
        <v>14731397</v>
      </c>
      <c r="E39" s="429">
        <f>(E36+E37)-E38</f>
        <v>0</v>
      </c>
      <c r="F39" s="504">
        <f>F37-F38</f>
        <v>2216988.7042588741</v>
      </c>
      <c r="G39" s="341">
        <f>G37-G38</f>
        <v>1776500</v>
      </c>
      <c r="H39" s="341">
        <f>H37-H38</f>
        <v>316147</v>
      </c>
      <c r="I39" s="341">
        <f>I37-I38</f>
        <v>70916.87090777792</v>
      </c>
      <c r="J39" s="341">
        <f>J37-J38</f>
        <v>20456.789684935822</v>
      </c>
      <c r="K39" s="436"/>
      <c r="L39" s="341">
        <f t="shared" ref="L39:AB39" si="14">L37-L38</f>
        <v>4328.5381072475575</v>
      </c>
      <c r="M39" s="429">
        <f t="shared" si="14"/>
        <v>28639.505558910314</v>
      </c>
      <c r="N39" s="504">
        <f t="shared" si="14"/>
        <v>-124341.70425887115</v>
      </c>
      <c r="O39" s="341">
        <f t="shared" si="14"/>
        <v>-124341.70425887115</v>
      </c>
      <c r="P39" s="341">
        <f t="shared" si="14"/>
        <v>0</v>
      </c>
      <c r="Q39" s="341">
        <f t="shared" si="14"/>
        <v>0</v>
      </c>
      <c r="R39" s="341">
        <f t="shared" si="14"/>
        <v>0</v>
      </c>
      <c r="S39" s="341">
        <f t="shared" si="14"/>
        <v>0</v>
      </c>
      <c r="T39" s="341">
        <f t="shared" si="14"/>
        <v>0</v>
      </c>
      <c r="U39" s="341">
        <f t="shared" si="14"/>
        <v>0</v>
      </c>
      <c r="V39" s="341">
        <f t="shared" si="14"/>
        <v>0</v>
      </c>
      <c r="W39" s="341">
        <f t="shared" si="14"/>
        <v>0</v>
      </c>
      <c r="X39" s="341">
        <f t="shared" si="14"/>
        <v>0</v>
      </c>
      <c r="Y39" s="341">
        <f t="shared" si="14"/>
        <v>0</v>
      </c>
      <c r="Z39" s="341">
        <f t="shared" si="14"/>
        <v>0</v>
      </c>
      <c r="AA39" s="341">
        <f t="shared" si="14"/>
        <v>0</v>
      </c>
      <c r="AB39" s="429">
        <f t="shared" si="14"/>
        <v>0</v>
      </c>
      <c r="AC39" s="504">
        <f t="shared" si="0"/>
        <v>0</v>
      </c>
      <c r="AD39" s="436"/>
      <c r="AE39" s="436"/>
      <c r="AF39" s="429">
        <f>AF37-AF38</f>
        <v>0</v>
      </c>
      <c r="AG39" s="521"/>
      <c r="AH39" s="497">
        <f>AH37-AH38</f>
        <v>12638749.999999998</v>
      </c>
      <c r="AI39" s="528">
        <f>AI37-AI38</f>
        <v>0.35340219746751644</v>
      </c>
      <c r="AJ39" s="343" t="s">
        <v>57</v>
      </c>
    </row>
    <row r="40" spans="2:36" ht="24.9" hidden="1" customHeight="1" x14ac:dyDescent="0.35">
      <c r="B40" s="472" t="s">
        <v>107</v>
      </c>
      <c r="C40" s="343" t="s">
        <v>108</v>
      </c>
      <c r="D40" s="460"/>
      <c r="E40" s="509"/>
      <c r="F40" s="503">
        <f>SUM(G40:M40)</f>
        <v>24151137.869782973</v>
      </c>
      <c r="G40" s="341">
        <f>'Sports and Leisure 2019'!AM8</f>
        <v>11235993.6</v>
      </c>
      <c r="H40" s="341">
        <f>'Sports and Leisure 2019'!AN8</f>
        <v>1982822.3999999999</v>
      </c>
      <c r="I40" s="429">
        <f>'Sports and Leisure 2019'!AI8</f>
        <v>4347512.5208681133</v>
      </c>
      <c r="J40" s="340">
        <f>'Sports and Leisure 2019'!AH8</f>
        <v>1254090.1502504174</v>
      </c>
      <c r="K40" s="436"/>
      <c r="L40" s="429">
        <f>'Sports and Leisure 2019'!AK8+'Sports and Leisure 2019'!AL8</f>
        <v>3574992.9883138565</v>
      </c>
      <c r="M40" s="429">
        <f>'Sports and Leisure 2019'!AJ8</f>
        <v>1755726.2103505842</v>
      </c>
      <c r="N40" s="503">
        <f>SUM(O40:AB40)</f>
        <v>1086878.1302170283</v>
      </c>
      <c r="O40" s="341">
        <f>'Sports and Leisure 2019'!AO8</f>
        <v>1086878.1302170283</v>
      </c>
      <c r="P40" s="341">
        <f>'Sports and Leisure 2019'!AP8</f>
        <v>0</v>
      </c>
      <c r="Q40" s="341">
        <f>'Sports and Leisure 2019'!AR8</f>
        <v>0</v>
      </c>
      <c r="R40" s="341">
        <f>'Sports and Leisure 2019'!AT8</f>
        <v>0</v>
      </c>
      <c r="S40" s="341">
        <f>'Sports and Leisure 2019'!AV8</f>
        <v>0</v>
      </c>
      <c r="T40" s="341">
        <f>'Sports and Leisure 2019'!AX8</f>
        <v>0</v>
      </c>
      <c r="U40" s="341">
        <f>'Sports and Leisure 2019'!AZ8</f>
        <v>0</v>
      </c>
      <c r="V40" s="341">
        <f>'Sports and Leisure 2019'!BA8</f>
        <v>0</v>
      </c>
      <c r="W40" s="341">
        <f>'Sports and Leisure 2019'!BB8</f>
        <v>0</v>
      </c>
      <c r="X40" s="341">
        <f>'Sports and Leisure 2019'!BD8</f>
        <v>0</v>
      </c>
      <c r="Y40" s="341">
        <f>'Sports and Leisure 2019'!BE8</f>
        <v>0</v>
      </c>
      <c r="Z40" s="341">
        <f>'Sports and Leisure 2019'!BF8</f>
        <v>0</v>
      </c>
      <c r="AA40" s="341">
        <f>'Sports and Leisure 2019'!BG8</f>
        <v>0</v>
      </c>
      <c r="AB40" s="429">
        <f>'Sports and Leisure 2019'!BI8</f>
        <v>0</v>
      </c>
      <c r="AC40" s="503">
        <f t="shared" si="0"/>
        <v>0</v>
      </c>
      <c r="AD40" s="436"/>
      <c r="AE40" s="436"/>
      <c r="AF40" s="429">
        <f>'Sports and Leisure 2019'!BJ8</f>
        <v>0</v>
      </c>
      <c r="AG40" s="520"/>
      <c r="AH40" s="496">
        <f>D40-E40-F40-N40-AC40</f>
        <v>-25238016</v>
      </c>
      <c r="AI40" s="527" t="e">
        <f>AH40/D40</f>
        <v>#DIV/0!</v>
      </c>
      <c r="AJ40" s="343" t="s">
        <v>108</v>
      </c>
    </row>
    <row r="41" spans="2:36" ht="24.9" hidden="1" customHeight="1" x14ac:dyDescent="0.35">
      <c r="B41" s="472" t="s">
        <v>109</v>
      </c>
      <c r="C41" s="343" t="s">
        <v>61</v>
      </c>
      <c r="D41" s="341"/>
      <c r="E41" s="429"/>
      <c r="F41" s="504">
        <f>F37-F40</f>
        <v>-1808200.9407049567</v>
      </c>
      <c r="G41" s="341">
        <f>G37-G40</f>
        <v>-96165.599999999627</v>
      </c>
      <c r="H41" s="341">
        <f t="shared" ref="H41:AB41" si="15">H37-H40</f>
        <v>-14323.399999999907</v>
      </c>
      <c r="I41" s="341">
        <f t="shared" si="15"/>
        <v>-653668.54923690762</v>
      </c>
      <c r="J41" s="341">
        <f t="shared" si="15"/>
        <v>-188558.23535680049</v>
      </c>
      <c r="K41" s="436"/>
      <c r="L41" s="341">
        <f t="shared" si="15"/>
        <v>-591503.62661172869</v>
      </c>
      <c r="M41" s="429">
        <f t="shared" si="15"/>
        <v>-263981.52949952031</v>
      </c>
      <c r="N41" s="504">
        <f t="shared" si="15"/>
        <v>-305488.05929504253</v>
      </c>
      <c r="O41" s="341">
        <f t="shared" si="15"/>
        <v>-305488.05929504253</v>
      </c>
      <c r="P41" s="341">
        <f t="shared" si="15"/>
        <v>0</v>
      </c>
      <c r="Q41" s="341">
        <f t="shared" si="15"/>
        <v>0</v>
      </c>
      <c r="R41" s="341">
        <f t="shared" si="15"/>
        <v>0</v>
      </c>
      <c r="S41" s="341">
        <f t="shared" si="15"/>
        <v>0</v>
      </c>
      <c r="T41" s="341">
        <f t="shared" si="15"/>
        <v>0</v>
      </c>
      <c r="U41" s="341">
        <f t="shared" si="15"/>
        <v>0</v>
      </c>
      <c r="V41" s="341">
        <f t="shared" si="15"/>
        <v>0</v>
      </c>
      <c r="W41" s="341">
        <f t="shared" si="15"/>
        <v>0</v>
      </c>
      <c r="X41" s="341">
        <f t="shared" si="15"/>
        <v>0</v>
      </c>
      <c r="Y41" s="341">
        <f t="shared" si="15"/>
        <v>0</v>
      </c>
      <c r="Z41" s="341">
        <f t="shared" si="15"/>
        <v>0</v>
      </c>
      <c r="AA41" s="341">
        <f t="shared" si="15"/>
        <v>0</v>
      </c>
      <c r="AB41" s="429">
        <f t="shared" si="15"/>
        <v>0</v>
      </c>
      <c r="AC41" s="504">
        <f t="shared" si="0"/>
        <v>0</v>
      </c>
      <c r="AD41" s="438"/>
      <c r="AE41" s="438"/>
      <c r="AF41" s="429"/>
      <c r="AG41" s="521"/>
      <c r="AH41" s="497">
        <f>AH37-AH40</f>
        <v>37876766</v>
      </c>
      <c r="AI41" s="528" t="e">
        <f>AI37-AI40</f>
        <v>#DIV/0!</v>
      </c>
      <c r="AJ41" s="343" t="s">
        <v>61</v>
      </c>
    </row>
    <row r="42" spans="2:36" ht="24.9" customHeight="1" x14ac:dyDescent="0.35">
      <c r="B42" s="472" t="s">
        <v>110</v>
      </c>
      <c r="C42" s="430" t="s">
        <v>111</v>
      </c>
      <c r="D42" s="338">
        <f>'Utilities 2022'!Q49</f>
        <v>62149310</v>
      </c>
      <c r="E42" s="507">
        <f>'Utilities 2022'!U50</f>
        <v>0</v>
      </c>
      <c r="F42" s="501">
        <f>SUM(G42:M42)</f>
        <v>24349310</v>
      </c>
      <c r="G42" s="336">
        <f>'Utilities 2022'!AK52</f>
        <v>1400000</v>
      </c>
      <c r="H42" s="336">
        <f>'Utilities 2022'!AL52</f>
        <v>249310</v>
      </c>
      <c r="I42" s="336">
        <f>'Utilities 2022'!AM52</f>
        <v>0</v>
      </c>
      <c r="J42" s="336">
        <f>'Utilities 2022'!AN52</f>
        <v>0</v>
      </c>
      <c r="K42" s="458">
        <f>'Utilities 2022'!AO52</f>
        <v>22700000</v>
      </c>
      <c r="L42" s="336">
        <f>'Utilities 2022'!AP52</f>
        <v>0</v>
      </c>
      <c r="M42" s="337">
        <f>'Utilities 2022'!AQ52</f>
        <v>0</v>
      </c>
      <c r="N42" s="501">
        <f>SUM(O42:AB42)</f>
        <v>0</v>
      </c>
      <c r="O42" s="336">
        <f>'Utilities 2022'!AR52</f>
        <v>0</v>
      </c>
      <c r="P42" s="336">
        <f>'Utilities 2022'!AS52</f>
        <v>0</v>
      </c>
      <c r="Q42" s="336">
        <f>'Utilities 2022'!AT52</f>
        <v>0</v>
      </c>
      <c r="R42" s="336">
        <f>'Utilities 2022'!AU52</f>
        <v>0</v>
      </c>
      <c r="S42" s="336">
        <f>'Utilities 2022'!AV52</f>
        <v>0</v>
      </c>
      <c r="T42" s="336">
        <f>'Utilities 2022'!AW52</f>
        <v>0</v>
      </c>
      <c r="U42" s="336">
        <f>'Utilities 2022'!AX52</f>
        <v>0</v>
      </c>
      <c r="V42" s="336">
        <f>'Utilities 2022'!AY52</f>
        <v>0</v>
      </c>
      <c r="W42" s="336">
        <f>'Utilities 2022'!AZ52</f>
        <v>0</v>
      </c>
      <c r="X42" s="336">
        <f>'Utilities 2022'!BA52</f>
        <v>0</v>
      </c>
      <c r="Y42" s="336">
        <f>'Utilities 2022'!BB52</f>
        <v>0</v>
      </c>
      <c r="Z42" s="336">
        <f>'Utilities 2022'!BC52</f>
        <v>0</v>
      </c>
      <c r="AA42" s="336">
        <f>'Utilities 2022'!BD52</f>
        <v>0</v>
      </c>
      <c r="AB42" s="337">
        <f>'Utilities 2022'!BE52</f>
        <v>0</v>
      </c>
      <c r="AC42" s="501">
        <f t="shared" si="0"/>
        <v>0</v>
      </c>
      <c r="AD42" s="336">
        <f>'Utilities 2022'!BF52</f>
        <v>0</v>
      </c>
      <c r="AE42" s="336">
        <f>'Utilities 2022'!BG52</f>
        <v>0</v>
      </c>
      <c r="AF42" s="337">
        <f>'Utilities 2022'!BH52</f>
        <v>0</v>
      </c>
      <c r="AG42" s="519"/>
      <c r="AH42" s="495">
        <f>D42-E42-F42-N42-AC42</f>
        <v>37800000</v>
      </c>
      <c r="AI42" s="529">
        <f>AH42/D42</f>
        <v>0.60821270582086917</v>
      </c>
      <c r="AJ42" s="430" t="s">
        <v>111</v>
      </c>
    </row>
    <row r="43" spans="2:36" ht="24.9" customHeight="1" x14ac:dyDescent="0.35">
      <c r="B43" s="472" t="s">
        <v>112</v>
      </c>
      <c r="C43" s="343" t="s">
        <v>113</v>
      </c>
      <c r="D43" s="460">
        <f>'Utilities 2019'!G22</f>
        <v>44700000</v>
      </c>
      <c r="E43" s="509">
        <f>'Utilities 2019'!I22</f>
        <v>0</v>
      </c>
      <c r="F43" s="503">
        <f>SUM(G43:M43)</f>
        <v>1843981.3016138007</v>
      </c>
      <c r="G43" s="341">
        <f>'Utilities 2019'!AM22</f>
        <v>1412756.95</v>
      </c>
      <c r="H43" s="341">
        <f>'Utilities 2019'!AN22</f>
        <v>249310.05</v>
      </c>
      <c r="I43" s="429">
        <f>'Utilities 2019'!AI22</f>
        <v>72342.793544796878</v>
      </c>
      <c r="J43" s="340">
        <f>'Utilities 2019'!AH22</f>
        <v>20868.113522537562</v>
      </c>
      <c r="K43" s="436"/>
      <c r="L43" s="429">
        <f>'Utilities 2019'!AK22+'Utilities 2019'!AL22</f>
        <v>59488.035614913737</v>
      </c>
      <c r="M43" s="429">
        <f>'Utilities 2019'!AJ22</f>
        <v>29215.358931552586</v>
      </c>
      <c r="N43" s="503">
        <f>SUM(O43:AB43)</f>
        <v>18085.698386199219</v>
      </c>
      <c r="O43" s="341">
        <f>'Utilities 2019'!AO22</f>
        <v>18085.698386199219</v>
      </c>
      <c r="P43" s="341">
        <f>'Utilities 2019'!AP22</f>
        <v>0</v>
      </c>
      <c r="Q43" s="341">
        <f>'Utilities 2019'!AR22</f>
        <v>0</v>
      </c>
      <c r="R43" s="341">
        <f>'Utilities 2019'!AT22</f>
        <v>0</v>
      </c>
      <c r="S43" s="341">
        <f>'Utilities 2019'!AV22</f>
        <v>0</v>
      </c>
      <c r="T43" s="341">
        <f>'Utilities 2019'!AX22</f>
        <v>0</v>
      </c>
      <c r="U43" s="341">
        <f>'Utilities 2019'!AZ22</f>
        <v>0</v>
      </c>
      <c r="V43" s="341">
        <f>'Utilities 2019'!BA22</f>
        <v>0</v>
      </c>
      <c r="W43" s="341">
        <f>'Utilities 2019'!BB22</f>
        <v>0</v>
      </c>
      <c r="X43" s="341">
        <f>'Utilities 2019'!BD22</f>
        <v>0</v>
      </c>
      <c r="Y43" s="341">
        <f>'Utilities 2019'!BE22</f>
        <v>0</v>
      </c>
      <c r="Z43" s="341">
        <f>'Utilities 2019'!BF22</f>
        <v>0</v>
      </c>
      <c r="AA43" s="341">
        <f>'Utilities 2019'!BG22</f>
        <v>0</v>
      </c>
      <c r="AB43" s="429">
        <f>'Utilities 2019'!BI22</f>
        <v>0</v>
      </c>
      <c r="AC43" s="503">
        <f t="shared" si="0"/>
        <v>0</v>
      </c>
      <c r="AD43" s="436"/>
      <c r="AE43" s="436"/>
      <c r="AF43" s="429">
        <f>'Utilities 2019'!BJ22</f>
        <v>0</v>
      </c>
      <c r="AG43" s="520"/>
      <c r="AH43" s="496">
        <f>D43-E43-F43-N43-AC43</f>
        <v>42837933</v>
      </c>
      <c r="AI43" s="527">
        <f>AH43/D43</f>
        <v>0.95834302013422823</v>
      </c>
      <c r="AJ43" s="343" t="s">
        <v>113</v>
      </c>
    </row>
    <row r="44" spans="2:36" ht="24.9" customHeight="1" x14ac:dyDescent="0.35">
      <c r="B44" s="472" t="s">
        <v>114</v>
      </c>
      <c r="C44" s="343" t="s">
        <v>57</v>
      </c>
      <c r="D44" s="341">
        <f>D42-D43</f>
        <v>17449310</v>
      </c>
      <c r="E44" s="429">
        <f>(E41+E42)-E43</f>
        <v>0</v>
      </c>
      <c r="F44" s="504">
        <f>F42-F43</f>
        <v>22505328.6983862</v>
      </c>
      <c r="G44" s="341">
        <f>G42-G43</f>
        <v>-12756.949999999953</v>
      </c>
      <c r="H44" s="341">
        <f>H42-H43</f>
        <v>-4.9999999988358468E-2</v>
      </c>
      <c r="I44" s="341">
        <f>I42-I43</f>
        <v>-72342.793544796878</v>
      </c>
      <c r="J44" s="341">
        <f>J42-J43</f>
        <v>-20868.113522537562</v>
      </c>
      <c r="K44" s="436"/>
      <c r="L44" s="341">
        <f t="shared" ref="L44:AB44" si="16">L42-L43</f>
        <v>-59488.035614913737</v>
      </c>
      <c r="M44" s="429">
        <f t="shared" si="16"/>
        <v>-29215.358931552586</v>
      </c>
      <c r="N44" s="504">
        <f t="shared" si="16"/>
        <v>-18085.698386199219</v>
      </c>
      <c r="O44" s="341">
        <f t="shared" si="16"/>
        <v>-18085.698386199219</v>
      </c>
      <c r="P44" s="341">
        <f t="shared" si="16"/>
        <v>0</v>
      </c>
      <c r="Q44" s="341">
        <f t="shared" si="16"/>
        <v>0</v>
      </c>
      <c r="R44" s="341">
        <f t="shared" si="16"/>
        <v>0</v>
      </c>
      <c r="S44" s="341">
        <f t="shared" si="16"/>
        <v>0</v>
      </c>
      <c r="T44" s="341">
        <f t="shared" si="16"/>
        <v>0</v>
      </c>
      <c r="U44" s="341">
        <f t="shared" si="16"/>
        <v>0</v>
      </c>
      <c r="V44" s="341">
        <f t="shared" si="16"/>
        <v>0</v>
      </c>
      <c r="W44" s="341">
        <f t="shared" si="16"/>
        <v>0</v>
      </c>
      <c r="X44" s="341">
        <f t="shared" si="16"/>
        <v>0</v>
      </c>
      <c r="Y44" s="341">
        <f t="shared" si="16"/>
        <v>0</v>
      </c>
      <c r="Z44" s="341">
        <f t="shared" si="16"/>
        <v>0</v>
      </c>
      <c r="AA44" s="341">
        <f t="shared" si="16"/>
        <v>0</v>
      </c>
      <c r="AB44" s="429">
        <f t="shared" si="16"/>
        <v>0</v>
      </c>
      <c r="AC44" s="504">
        <f t="shared" si="0"/>
        <v>0</v>
      </c>
      <c r="AD44" s="436"/>
      <c r="AE44" s="436"/>
      <c r="AF44" s="429">
        <f>AF42-AF43</f>
        <v>0</v>
      </c>
      <c r="AG44" s="521"/>
      <c r="AH44" s="497">
        <f>AH42-AH43</f>
        <v>-5037933</v>
      </c>
      <c r="AI44" s="528">
        <f>AI42-AI43</f>
        <v>-0.35013031431335906</v>
      </c>
      <c r="AJ44" s="343" t="s">
        <v>57</v>
      </c>
    </row>
    <row r="45" spans="2:36" ht="24.9" hidden="1" customHeight="1" x14ac:dyDescent="0.35">
      <c r="B45" s="472" t="s">
        <v>115</v>
      </c>
      <c r="C45" s="343" t="s">
        <v>116</v>
      </c>
      <c r="D45" s="460"/>
      <c r="E45" s="509"/>
      <c r="F45" s="503">
        <f>SUM(G45:M45)</f>
        <v>2212777.561936561</v>
      </c>
      <c r="G45" s="341">
        <f>'Utilities 2019'!AM26</f>
        <v>1695308.3399999999</v>
      </c>
      <c r="H45" s="341">
        <f>'Utilities 2019'!AN26</f>
        <v>299172.06</v>
      </c>
      <c r="I45" s="429">
        <f>'Utilities 2019'!AI26</f>
        <v>86811.352253756253</v>
      </c>
      <c r="J45" s="340">
        <f>'Utilities 2019'!AH26</f>
        <v>25041.736227045076</v>
      </c>
      <c r="K45" s="436"/>
      <c r="L45" s="429">
        <f>'Utilities 2019'!AK26+'Utilities 2019'!AL26</f>
        <v>71385.642737896487</v>
      </c>
      <c r="M45" s="429">
        <f>'Utilities 2019'!AJ26</f>
        <v>35058.430717863106</v>
      </c>
      <c r="N45" s="503">
        <f>SUM(O45:AB45)</f>
        <v>21702.838063439063</v>
      </c>
      <c r="O45" s="341">
        <f>'Utilities 2019'!AO26</f>
        <v>21702.838063439063</v>
      </c>
      <c r="P45" s="341">
        <f>'Utilities 2019'!AP26</f>
        <v>0</v>
      </c>
      <c r="Q45" s="341">
        <f>'Utilities 2019'!AR26</f>
        <v>0</v>
      </c>
      <c r="R45" s="341">
        <f>'Utilities 2019'!AT26</f>
        <v>0</v>
      </c>
      <c r="S45" s="341">
        <f>'Utilities 2019'!AV26</f>
        <v>0</v>
      </c>
      <c r="T45" s="341">
        <f>'Utilities 2019'!AX26</f>
        <v>0</v>
      </c>
      <c r="U45" s="341">
        <f>'Utilities 2019'!AZ26</f>
        <v>0</v>
      </c>
      <c r="V45" s="341">
        <f>'Utilities 2019'!BA26</f>
        <v>0</v>
      </c>
      <c r="W45" s="341">
        <f>'Utilities 2019'!BB26</f>
        <v>0</v>
      </c>
      <c r="X45" s="341">
        <f>'Utilities 2019'!BD26</f>
        <v>0</v>
      </c>
      <c r="Y45" s="341">
        <f>'Utilities 2019'!BE26</f>
        <v>0</v>
      </c>
      <c r="Z45" s="341">
        <f>'Utilities 2019'!BF26</f>
        <v>0</v>
      </c>
      <c r="AA45" s="341">
        <f>'Utilities 2019'!BG26</f>
        <v>0</v>
      </c>
      <c r="AB45" s="429">
        <f>'Utilities 2019'!BI26</f>
        <v>0</v>
      </c>
      <c r="AC45" s="503">
        <f t="shared" si="0"/>
        <v>0</v>
      </c>
      <c r="AD45" s="436"/>
      <c r="AE45" s="436"/>
      <c r="AF45" s="429">
        <f>'Utilities 2019'!BJ26</f>
        <v>0</v>
      </c>
      <c r="AG45" s="520"/>
      <c r="AH45" s="496">
        <f>D45-E45-F45-N45-AC45</f>
        <v>-2234480.4</v>
      </c>
      <c r="AI45" s="527" t="e">
        <f>AH45/D45</f>
        <v>#DIV/0!</v>
      </c>
      <c r="AJ45" s="343" t="s">
        <v>116</v>
      </c>
    </row>
    <row r="46" spans="2:36" ht="24.9" hidden="1" customHeight="1" x14ac:dyDescent="0.35">
      <c r="B46" s="472" t="s">
        <v>117</v>
      </c>
      <c r="C46" s="343" t="s">
        <v>61</v>
      </c>
      <c r="D46" s="341"/>
      <c r="E46" s="429"/>
      <c r="F46" s="504">
        <f>F42-F45</f>
        <v>22136532.438063439</v>
      </c>
      <c r="G46" s="341">
        <f>G42-G45</f>
        <v>-295308.33999999985</v>
      </c>
      <c r="H46" s="341">
        <f>H42-H45</f>
        <v>-49862.06</v>
      </c>
      <c r="I46" s="341">
        <f>I42-I45</f>
        <v>-86811.352253756253</v>
      </c>
      <c r="J46" s="341">
        <f>J42-J45</f>
        <v>-25041.736227045076</v>
      </c>
      <c r="K46" s="436"/>
      <c r="L46" s="341">
        <f t="shared" ref="L46:AB46" si="17">L42-L45</f>
        <v>-71385.642737896487</v>
      </c>
      <c r="M46" s="429">
        <f t="shared" si="17"/>
        <v>-35058.430717863106</v>
      </c>
      <c r="N46" s="504">
        <f t="shared" si="17"/>
        <v>-21702.838063439063</v>
      </c>
      <c r="O46" s="341">
        <f t="shared" si="17"/>
        <v>-21702.838063439063</v>
      </c>
      <c r="P46" s="341">
        <f t="shared" si="17"/>
        <v>0</v>
      </c>
      <c r="Q46" s="341">
        <f t="shared" si="17"/>
        <v>0</v>
      </c>
      <c r="R46" s="341">
        <f t="shared" si="17"/>
        <v>0</v>
      </c>
      <c r="S46" s="341">
        <f t="shared" si="17"/>
        <v>0</v>
      </c>
      <c r="T46" s="341">
        <f t="shared" si="17"/>
        <v>0</v>
      </c>
      <c r="U46" s="341">
        <f t="shared" si="17"/>
        <v>0</v>
      </c>
      <c r="V46" s="341">
        <f t="shared" si="17"/>
        <v>0</v>
      </c>
      <c r="W46" s="341">
        <f t="shared" si="17"/>
        <v>0</v>
      </c>
      <c r="X46" s="341">
        <f t="shared" si="17"/>
        <v>0</v>
      </c>
      <c r="Y46" s="341">
        <f t="shared" si="17"/>
        <v>0</v>
      </c>
      <c r="Z46" s="341">
        <f t="shared" si="17"/>
        <v>0</v>
      </c>
      <c r="AA46" s="341">
        <f t="shared" si="17"/>
        <v>0</v>
      </c>
      <c r="AB46" s="429">
        <f t="shared" si="17"/>
        <v>0</v>
      </c>
      <c r="AC46" s="504">
        <f t="shared" si="0"/>
        <v>0</v>
      </c>
      <c r="AD46" s="438"/>
      <c r="AE46" s="438"/>
      <c r="AF46" s="429"/>
      <c r="AG46" s="521"/>
      <c r="AH46" s="497">
        <f>AH42-AH45</f>
        <v>40034480.399999999</v>
      </c>
      <c r="AI46" s="528" t="e">
        <f>AI42-AI45</f>
        <v>#DIV/0!</v>
      </c>
      <c r="AJ46" s="343" t="s">
        <v>61</v>
      </c>
    </row>
    <row r="47" spans="2:36" ht="24.9" customHeight="1" x14ac:dyDescent="0.35">
      <c r="B47" s="472" t="s">
        <v>118</v>
      </c>
      <c r="C47" s="430" t="s">
        <v>119</v>
      </c>
      <c r="D47" s="338">
        <f>'Flood Defence 2022'!Q18</f>
        <v>16010000</v>
      </c>
      <c r="E47" s="507">
        <f>'Flood Defence 2022'!U19</f>
        <v>341482</v>
      </c>
      <c r="F47" s="501">
        <f>SUM(G47:M47)</f>
        <v>2557500</v>
      </c>
      <c r="G47" s="337">
        <f>'Flood Defence 2022'!AK21</f>
        <v>0</v>
      </c>
      <c r="H47" s="337">
        <f>'Flood Defence 2022'!AL21</f>
        <v>0</v>
      </c>
      <c r="I47" s="337">
        <f>'Flood Defence 2022'!AM21</f>
        <v>589850.74626865669</v>
      </c>
      <c r="J47" s="337">
        <f>'Flood Defence 2022'!AN21</f>
        <v>170149.25373134328</v>
      </c>
      <c r="K47" s="441"/>
      <c r="L47" s="337">
        <f>'Flood Defence 2022'!AP21</f>
        <v>795000</v>
      </c>
      <c r="M47" s="337">
        <f>'Flood Defence 2022'!AQ21</f>
        <v>1002500</v>
      </c>
      <c r="N47" s="501">
        <f>SUM(O47:AB47)</f>
        <v>360000</v>
      </c>
      <c r="O47" s="337">
        <f>'Flood Defence 2022'!AR21</f>
        <v>360000</v>
      </c>
      <c r="P47" s="336">
        <f>'Flood Defence 2022'!AS21</f>
        <v>0</v>
      </c>
      <c r="Q47" s="336">
        <f>'Flood Defence 2022'!AT21</f>
        <v>0</v>
      </c>
      <c r="R47" s="336">
        <f>'Flood Defence 2022'!AU21</f>
        <v>0</v>
      </c>
      <c r="S47" s="336">
        <f>'Flood Defence 2022'!AV21</f>
        <v>0</v>
      </c>
      <c r="T47" s="336">
        <f>'Flood Defence 2022'!AW21</f>
        <v>0</v>
      </c>
      <c r="U47" s="336">
        <f>'Flood Defence 2022'!AX21</f>
        <v>0</v>
      </c>
      <c r="V47" s="336">
        <f>'Flood Defence 2022'!AY21</f>
        <v>0</v>
      </c>
      <c r="W47" s="336">
        <f>'Flood Defence 2022'!AZ21</f>
        <v>0</v>
      </c>
      <c r="X47" s="336">
        <f>'Flood Defence 2022'!BA21</f>
        <v>0</v>
      </c>
      <c r="Y47" s="336">
        <f>'Flood Defence 2022'!BB21</f>
        <v>0</v>
      </c>
      <c r="Z47" s="336">
        <f>'Flood Defence 2022'!BC21</f>
        <v>0</v>
      </c>
      <c r="AA47" s="336">
        <f>'Flood Defence 2022'!BD21</f>
        <v>0</v>
      </c>
      <c r="AB47" s="337">
        <f>'Flood Defence 2022'!BE21</f>
        <v>0</v>
      </c>
      <c r="AC47" s="501">
        <f t="shared" si="0"/>
        <v>0</v>
      </c>
      <c r="AD47" s="337">
        <f>'Flood Defence 2022'!BF21</f>
        <v>0</v>
      </c>
      <c r="AE47" s="336">
        <f>'Flood Defence 2022'!BG21</f>
        <v>0</v>
      </c>
      <c r="AF47" s="337">
        <f>'Flood Defence 2022'!BH21</f>
        <v>0</v>
      </c>
      <c r="AG47" s="519"/>
      <c r="AH47" s="495">
        <f>D47-E47-F47-N47-AC47</f>
        <v>12751018</v>
      </c>
      <c r="AI47" s="529">
        <f>AH47/D47</f>
        <v>0.79644084946908178</v>
      </c>
      <c r="AJ47" s="430" t="s">
        <v>119</v>
      </c>
    </row>
    <row r="48" spans="2:36" ht="24.9" customHeight="1" x14ac:dyDescent="0.35">
      <c r="B48" s="472" t="s">
        <v>120</v>
      </c>
      <c r="C48" s="343" t="s">
        <v>121</v>
      </c>
      <c r="D48" s="460">
        <f>'Flood Defence 2019'!G5</f>
        <v>12000000</v>
      </c>
      <c r="E48" s="509">
        <f>'Flood Defence 2019'!I5</f>
        <v>341482</v>
      </c>
      <c r="F48" s="503">
        <f>SUM(G48:M48)</f>
        <v>0</v>
      </c>
      <c r="G48" s="341">
        <f>'Flood Defence 2019'!AM5</f>
        <v>0</v>
      </c>
      <c r="H48" s="341">
        <f>'Flood Defence 2019'!AN5</f>
        <v>0</v>
      </c>
      <c r="I48" s="429">
        <f>'Flood Defence 2019'!AI5</f>
        <v>0</v>
      </c>
      <c r="J48" s="340">
        <f>'Flood Defence 2019'!AH5</f>
        <v>0</v>
      </c>
      <c r="K48" s="436"/>
      <c r="L48" s="429">
        <f>'Flood Defence 2019'!AK5+'Flood Defence 2019'!AL5</f>
        <v>0</v>
      </c>
      <c r="M48" s="429">
        <f>'Flood Defence 2019'!AJ5</f>
        <v>0</v>
      </c>
      <c r="N48" s="503">
        <f>SUM(O48:AB48)</f>
        <v>0</v>
      </c>
      <c r="O48" s="341">
        <f>'Flood Defence 2019'!AO5</f>
        <v>0</v>
      </c>
      <c r="P48" s="341">
        <f>'Flood Defence 2019'!AP5</f>
        <v>0</v>
      </c>
      <c r="Q48" s="341">
        <f>'Flood Defence 2019'!AR5</f>
        <v>0</v>
      </c>
      <c r="R48" s="341">
        <f>'Flood Defence 2019'!AT5</f>
        <v>0</v>
      </c>
      <c r="S48" s="341">
        <f>'Flood Defence 2019'!AV5</f>
        <v>0</v>
      </c>
      <c r="T48" s="341">
        <f>'Flood Defence 2019'!AX5</f>
        <v>0</v>
      </c>
      <c r="U48" s="341">
        <f>'Flood Defence 2019'!AZ5</f>
        <v>0</v>
      </c>
      <c r="V48" s="341">
        <f>'Flood Defence 2019'!BA5</f>
        <v>0</v>
      </c>
      <c r="W48" s="341">
        <f>'Flood Defence 2019'!BB5</f>
        <v>0</v>
      </c>
      <c r="X48" s="341">
        <f>'Flood Defence 2019'!BD5</f>
        <v>0</v>
      </c>
      <c r="Y48" s="341">
        <f>'Flood Defence 2019'!BE5</f>
        <v>0</v>
      </c>
      <c r="Z48" s="341">
        <f>'Flood Defence 2019'!BF5</f>
        <v>0</v>
      </c>
      <c r="AA48" s="341">
        <f>'Flood Defence 2019'!BG5</f>
        <v>0</v>
      </c>
      <c r="AB48" s="429">
        <f>'Flood Defence 2019'!BI5</f>
        <v>0</v>
      </c>
      <c r="AC48" s="503">
        <f t="shared" si="0"/>
        <v>0</v>
      </c>
      <c r="AD48" s="436"/>
      <c r="AE48" s="436"/>
      <c r="AF48" s="429">
        <f>'Flood Defence 2019'!BJ5</f>
        <v>0</v>
      </c>
      <c r="AG48" s="520"/>
      <c r="AH48" s="496">
        <f>D48-E48-F48-N48-AC48</f>
        <v>11658518</v>
      </c>
      <c r="AI48" s="527">
        <f>AH48/D48</f>
        <v>0.97154316666666662</v>
      </c>
      <c r="AJ48" s="343" t="s">
        <v>121</v>
      </c>
    </row>
    <row r="49" spans="2:41" ht="24.9" customHeight="1" x14ac:dyDescent="0.35">
      <c r="B49" s="472" t="s">
        <v>122</v>
      </c>
      <c r="C49" s="343" t="s">
        <v>57</v>
      </c>
      <c r="D49" s="341">
        <f>D47-D48</f>
        <v>4010000</v>
      </c>
      <c r="E49" s="429">
        <f>(E46+E47)-E48</f>
        <v>0</v>
      </c>
      <c r="F49" s="504">
        <f>F47-F48</f>
        <v>2557500</v>
      </c>
      <c r="G49" s="341">
        <f>G47-G48</f>
        <v>0</v>
      </c>
      <c r="H49" s="341">
        <f>H47-H48</f>
        <v>0</v>
      </c>
      <c r="I49" s="341">
        <f>I47-I48</f>
        <v>589850.74626865669</v>
      </c>
      <c r="J49" s="341">
        <f>J47-J48</f>
        <v>170149.25373134328</v>
      </c>
      <c r="K49" s="436"/>
      <c r="L49" s="341">
        <f t="shared" ref="L49:AB49" si="18">L47-L48</f>
        <v>795000</v>
      </c>
      <c r="M49" s="429">
        <f t="shared" si="18"/>
        <v>1002500</v>
      </c>
      <c r="N49" s="504">
        <f t="shared" si="18"/>
        <v>360000</v>
      </c>
      <c r="O49" s="341">
        <f t="shared" si="18"/>
        <v>360000</v>
      </c>
      <c r="P49" s="341">
        <f t="shared" si="18"/>
        <v>0</v>
      </c>
      <c r="Q49" s="341">
        <f t="shared" si="18"/>
        <v>0</v>
      </c>
      <c r="R49" s="341">
        <f t="shared" si="18"/>
        <v>0</v>
      </c>
      <c r="S49" s="341">
        <f t="shared" si="18"/>
        <v>0</v>
      </c>
      <c r="T49" s="341">
        <f t="shared" si="18"/>
        <v>0</v>
      </c>
      <c r="U49" s="341">
        <f t="shared" si="18"/>
        <v>0</v>
      </c>
      <c r="V49" s="341">
        <f t="shared" si="18"/>
        <v>0</v>
      </c>
      <c r="W49" s="341">
        <f t="shared" si="18"/>
        <v>0</v>
      </c>
      <c r="X49" s="341">
        <f t="shared" si="18"/>
        <v>0</v>
      </c>
      <c r="Y49" s="341">
        <f t="shared" si="18"/>
        <v>0</v>
      </c>
      <c r="Z49" s="341">
        <f t="shared" si="18"/>
        <v>0</v>
      </c>
      <c r="AA49" s="341">
        <f t="shared" si="18"/>
        <v>0</v>
      </c>
      <c r="AB49" s="429">
        <f t="shared" si="18"/>
        <v>0</v>
      </c>
      <c r="AC49" s="504">
        <f t="shared" si="0"/>
        <v>0</v>
      </c>
      <c r="AD49" s="436"/>
      <c r="AE49" s="436"/>
      <c r="AF49" s="429">
        <f>AF47-AF48</f>
        <v>0</v>
      </c>
      <c r="AG49" s="521"/>
      <c r="AH49" s="497">
        <f>AH47-AH48</f>
        <v>1092500</v>
      </c>
      <c r="AI49" s="528">
        <f>AI47-AI48</f>
        <v>-0.17510231719758484</v>
      </c>
      <c r="AJ49" s="343" t="s">
        <v>57</v>
      </c>
    </row>
    <row r="50" spans="2:41" ht="24.9" hidden="1" customHeight="1" x14ac:dyDescent="0.35">
      <c r="B50" s="472" t="s">
        <v>123</v>
      </c>
      <c r="C50" s="343" t="s">
        <v>124</v>
      </c>
      <c r="D50" s="460"/>
      <c r="E50" s="509"/>
      <c r="F50" s="503">
        <f>SUM(G50:M50)</f>
        <v>0</v>
      </c>
      <c r="G50" s="341">
        <f>'Flood Defence 2019'!AM9</f>
        <v>0</v>
      </c>
      <c r="H50" s="341">
        <f>'Flood Defence 2019'!AN9</f>
        <v>0</v>
      </c>
      <c r="I50" s="429">
        <f>'Flood Defence 2019'!AI9</f>
        <v>0</v>
      </c>
      <c r="J50" s="340">
        <f>'Flood Defence 2019'!AH9</f>
        <v>0</v>
      </c>
      <c r="K50" s="436"/>
      <c r="L50" s="429">
        <f>'Flood Defence 2019'!AK9+'Flood Defence 2019'!AL9</f>
        <v>0</v>
      </c>
      <c r="M50" s="429">
        <f>'Flood Defence 2019'!AJ9</f>
        <v>0</v>
      </c>
      <c r="N50" s="503">
        <f>SUM(O50:AB50)</f>
        <v>0</v>
      </c>
      <c r="O50" s="341">
        <f>'Flood Defence 2019'!AO9</f>
        <v>0</v>
      </c>
      <c r="P50" s="341">
        <f>'Flood Defence 2019'!AP9</f>
        <v>0</v>
      </c>
      <c r="Q50" s="341">
        <f>'Flood Defence 2019'!AR9</f>
        <v>0</v>
      </c>
      <c r="R50" s="341">
        <f>'Flood Defence 2019'!AT9</f>
        <v>0</v>
      </c>
      <c r="S50" s="341">
        <f>'Flood Defence 2019'!AV9</f>
        <v>0</v>
      </c>
      <c r="T50" s="341">
        <f>'Flood Defence 2019'!AX9</f>
        <v>0</v>
      </c>
      <c r="U50" s="341">
        <f>'Flood Defence 2019'!AZ9</f>
        <v>0</v>
      </c>
      <c r="V50" s="341">
        <f>'Flood Defence 2019'!BA9</f>
        <v>0</v>
      </c>
      <c r="W50" s="341">
        <f>'Flood Defence 2019'!BB9</f>
        <v>0</v>
      </c>
      <c r="X50" s="341">
        <f>'Flood Defence 2019'!BD9</f>
        <v>0</v>
      </c>
      <c r="Y50" s="341">
        <f>'Flood Defence 2019'!BE9</f>
        <v>0</v>
      </c>
      <c r="Z50" s="341">
        <f>'Flood Defence 2019'!BF9</f>
        <v>0</v>
      </c>
      <c r="AA50" s="341">
        <f>'Flood Defence 2019'!BG9</f>
        <v>0</v>
      </c>
      <c r="AB50" s="429">
        <f>'Flood Defence 2019'!BI9</f>
        <v>0</v>
      </c>
      <c r="AC50" s="503">
        <f t="shared" si="0"/>
        <v>0</v>
      </c>
      <c r="AD50" s="436"/>
      <c r="AE50" s="436"/>
      <c r="AF50" s="429">
        <f>'Flood Defence 2019'!BJ9</f>
        <v>0</v>
      </c>
      <c r="AG50" s="520"/>
      <c r="AH50" s="496">
        <f>D50-E50-F50-N50-AC50</f>
        <v>0</v>
      </c>
      <c r="AI50" s="527" t="e">
        <f>AH50/D50</f>
        <v>#DIV/0!</v>
      </c>
      <c r="AJ50" s="343" t="s">
        <v>124</v>
      </c>
    </row>
    <row r="51" spans="2:41" ht="24.9" hidden="1" customHeight="1" x14ac:dyDescent="0.35">
      <c r="B51" s="472" t="s">
        <v>125</v>
      </c>
      <c r="C51" s="343" t="s">
        <v>61</v>
      </c>
      <c r="D51" s="341"/>
      <c r="E51" s="429"/>
      <c r="F51" s="504">
        <f>F47-F50</f>
        <v>2557500</v>
      </c>
      <c r="G51" s="341">
        <f>G47-G50</f>
        <v>0</v>
      </c>
      <c r="H51" s="341">
        <f>H47-H50</f>
        <v>0</v>
      </c>
      <c r="I51" s="341">
        <f>I47-I50</f>
        <v>589850.74626865669</v>
      </c>
      <c r="J51" s="341">
        <f>J47-J50</f>
        <v>170149.25373134328</v>
      </c>
      <c r="K51" s="438"/>
      <c r="L51" s="341">
        <f t="shared" ref="L51:AB51" si="19">L47-L50</f>
        <v>795000</v>
      </c>
      <c r="M51" s="429">
        <f t="shared" si="19"/>
        <v>1002500</v>
      </c>
      <c r="N51" s="505">
        <f t="shared" si="19"/>
        <v>360000</v>
      </c>
      <c r="O51" s="341">
        <f t="shared" si="19"/>
        <v>360000</v>
      </c>
      <c r="P51" s="341">
        <f t="shared" si="19"/>
        <v>0</v>
      </c>
      <c r="Q51" s="341">
        <f t="shared" si="19"/>
        <v>0</v>
      </c>
      <c r="R51" s="341">
        <f t="shared" si="19"/>
        <v>0</v>
      </c>
      <c r="S51" s="341">
        <f t="shared" si="19"/>
        <v>0</v>
      </c>
      <c r="T51" s="341">
        <f t="shared" si="19"/>
        <v>0</v>
      </c>
      <c r="U51" s="341">
        <f t="shared" si="19"/>
        <v>0</v>
      </c>
      <c r="V51" s="341">
        <f t="shared" si="19"/>
        <v>0</v>
      </c>
      <c r="W51" s="341">
        <f t="shared" si="19"/>
        <v>0</v>
      </c>
      <c r="X51" s="341">
        <f t="shared" si="19"/>
        <v>0</v>
      </c>
      <c r="Y51" s="341">
        <f t="shared" si="19"/>
        <v>0</v>
      </c>
      <c r="Z51" s="341">
        <f t="shared" si="19"/>
        <v>0</v>
      </c>
      <c r="AA51" s="341">
        <f t="shared" si="19"/>
        <v>0</v>
      </c>
      <c r="AB51" s="429">
        <f t="shared" si="19"/>
        <v>0</v>
      </c>
      <c r="AC51" s="505">
        <f t="shared" si="0"/>
        <v>0</v>
      </c>
      <c r="AD51" s="438"/>
      <c r="AE51" s="438"/>
      <c r="AF51" s="429"/>
      <c r="AG51" s="522"/>
      <c r="AH51" s="497">
        <f>AH47-AH50</f>
        <v>12751018</v>
      </c>
      <c r="AI51" s="528" t="e">
        <f>AI47-AI50</f>
        <v>#DIV/0!</v>
      </c>
      <c r="AJ51" s="343" t="s">
        <v>61</v>
      </c>
    </row>
    <row r="52" spans="2:41" ht="17.25" customHeight="1" x14ac:dyDescent="0.35">
      <c r="B52" s="472"/>
      <c r="C52" s="444" t="s">
        <v>126</v>
      </c>
      <c r="D52" s="305"/>
      <c r="E52" s="506"/>
      <c r="F52" s="500"/>
      <c r="G52" s="308"/>
      <c r="H52" s="308"/>
      <c r="I52" s="309"/>
      <c r="J52" s="308"/>
      <c r="K52" s="308"/>
      <c r="L52" s="308"/>
      <c r="M52" s="308"/>
      <c r="N52" s="305"/>
      <c r="O52" s="308"/>
      <c r="P52" s="308"/>
      <c r="Q52" s="308"/>
      <c r="R52" s="308"/>
      <c r="S52" s="308"/>
      <c r="T52" s="308"/>
      <c r="U52" s="308"/>
      <c r="V52" s="308"/>
      <c r="W52" s="308"/>
      <c r="X52" s="308"/>
      <c r="Y52" s="308"/>
      <c r="Z52" s="308"/>
      <c r="AA52" s="308"/>
      <c r="AB52" s="308"/>
      <c r="AC52" s="305"/>
      <c r="AD52" s="308"/>
      <c r="AE52" s="304"/>
      <c r="AF52" s="321"/>
      <c r="AG52" s="500"/>
      <c r="AH52" s="305"/>
      <c r="AI52" s="305"/>
      <c r="AJ52" s="302"/>
      <c r="AM52" s="452"/>
      <c r="AN52" s="452"/>
      <c r="AO52" s="452"/>
    </row>
    <row r="53" spans="2:41" ht="50.15" customHeight="1" x14ac:dyDescent="0.35">
      <c r="B53" s="472" t="s">
        <v>127</v>
      </c>
      <c r="C53" s="342" t="s">
        <v>128</v>
      </c>
      <c r="D53" s="461">
        <f>D6+D12+D17+D22+D27+D32+D37+D42+D47</f>
        <v>1256175389.4986694</v>
      </c>
      <c r="E53" s="339">
        <f>E6+E12+E17+E22+E27+E32+E37+E42+E47</f>
        <v>303336252.54999995</v>
      </c>
      <c r="F53" s="532">
        <f>F6+F7+F12+F17+F22+F27+F32+F37+F42+F47</f>
        <v>790771175.91919744</v>
      </c>
      <c r="G53" s="339">
        <f>G6+G7+G12+G17+G22+G27+G32+G37+G42+G47</f>
        <v>389831126.54192817</v>
      </c>
      <c r="H53" s="339">
        <f t="shared" ref="H53:M53" si="20">H6+H7+H12+H17+H22+H27+H32+H37+H42+H47</f>
        <v>91894836.684060857</v>
      </c>
      <c r="I53" s="339">
        <f t="shared" si="20"/>
        <v>118009519.44910483</v>
      </c>
      <c r="J53" s="339">
        <f t="shared" si="20"/>
        <v>28842859.367272649</v>
      </c>
      <c r="K53" s="339">
        <f t="shared" si="20"/>
        <v>25600000</v>
      </c>
      <c r="L53" s="339">
        <f t="shared" si="20"/>
        <v>92416580.283066347</v>
      </c>
      <c r="M53" s="339">
        <f t="shared" si="20"/>
        <v>44176253.593764715</v>
      </c>
      <c r="N53" s="535">
        <f t="shared" ref="N53:AF53" si="21">N6+N7+N12+N17+N22+N27+N32+N37+N42+N47</f>
        <v>26655505.071521115</v>
      </c>
      <c r="O53" s="339">
        <f t="shared" si="21"/>
        <v>21185281.374356583</v>
      </c>
      <c r="P53" s="339">
        <f t="shared" si="21"/>
        <v>1432310.2171227941</v>
      </c>
      <c r="Q53" s="339">
        <f t="shared" si="21"/>
        <v>627139.67965186771</v>
      </c>
      <c r="R53" s="339">
        <f t="shared" si="21"/>
        <v>716155.10856139706</v>
      </c>
      <c r="S53" s="339">
        <f t="shared" si="21"/>
        <v>716155.10856139706</v>
      </c>
      <c r="T53" s="339">
        <f t="shared" si="21"/>
        <v>418093.11976791179</v>
      </c>
      <c r="U53" s="339">
        <f t="shared" si="21"/>
        <v>265594.97251049458</v>
      </c>
      <c r="V53" s="339">
        <f t="shared" si="21"/>
        <v>248995.28672858869</v>
      </c>
      <c r="W53" s="339">
        <f t="shared" si="21"/>
        <v>215795.91516477684</v>
      </c>
      <c r="X53" s="339">
        <f t="shared" si="21"/>
        <v>165996.85781905914</v>
      </c>
      <c r="Y53" s="339">
        <f t="shared" si="21"/>
        <v>165996.85781905914</v>
      </c>
      <c r="Z53" s="339">
        <f t="shared" si="21"/>
        <v>165996.85781905914</v>
      </c>
      <c r="AA53" s="339">
        <f t="shared" si="21"/>
        <v>165996.85781905914</v>
      </c>
      <c r="AB53" s="339">
        <f t="shared" si="21"/>
        <v>165996.85781905914</v>
      </c>
      <c r="AC53" s="535">
        <f t="shared" si="21"/>
        <v>30085304.339421414</v>
      </c>
      <c r="AD53" s="339">
        <f t="shared" si="21"/>
        <v>28397489.735828597</v>
      </c>
      <c r="AE53" s="339">
        <f t="shared" si="21"/>
        <v>0</v>
      </c>
      <c r="AF53" s="339">
        <f t="shared" si="21"/>
        <v>1687814.6035928144</v>
      </c>
      <c r="AG53" s="523">
        <f>SUM(AG6:AG51)</f>
        <v>69521558.595571831</v>
      </c>
      <c r="AH53" s="492">
        <f>AH6+AH12+AH17+AH22+AH27+AH32+AH37+AH42+AH47</f>
        <v>232507643.06428602</v>
      </c>
      <c r="AI53" s="540">
        <f>AH53/D53</f>
        <v>0.18509170376047421</v>
      </c>
      <c r="AJ53" s="462" t="s">
        <v>128</v>
      </c>
    </row>
    <row r="54" spans="2:41" ht="50.15" customHeight="1" x14ac:dyDescent="0.35">
      <c r="B54" s="472" t="s">
        <v>129</v>
      </c>
      <c r="C54" s="342" t="s">
        <v>130</v>
      </c>
      <c r="D54" s="433"/>
      <c r="E54" s="434"/>
      <c r="F54" s="532">
        <f>F53/(G4+H4+I4+J4+L4+M4)</f>
        <v>47925.525813284694</v>
      </c>
      <c r="G54" s="339">
        <f>G53/G4</f>
        <v>45862.48547552096</v>
      </c>
      <c r="H54" s="339">
        <f>H53/H4</f>
        <v>61263.224456040574</v>
      </c>
      <c r="I54" s="339">
        <f>I53/I4</f>
        <v>45388.276711194165</v>
      </c>
      <c r="J54" s="339">
        <f>J53/J4</f>
        <v>38457.145823030201</v>
      </c>
      <c r="K54" s="432"/>
      <c r="L54" s="339">
        <f>L53/L4</f>
        <v>44007.895372888735</v>
      </c>
      <c r="M54" s="339">
        <f>M53/M4</f>
        <v>42072.622470252107</v>
      </c>
      <c r="N54" s="535">
        <f>N53/(O4+P4+Q4+R4+S4+T4+U4+V4+W4+X4+Y4+Z4+AA4+AB4)</f>
        <v>31961.037256020521</v>
      </c>
      <c r="O54" s="339">
        <f t="shared" ref="O54:AB54" si="22">O53/O4</f>
        <v>38518.693407921062</v>
      </c>
      <c r="P54" s="339">
        <f t="shared" si="22"/>
        <v>20461.57453032563</v>
      </c>
      <c r="Q54" s="339">
        <f t="shared" si="22"/>
        <v>20904.655988395589</v>
      </c>
      <c r="R54" s="339">
        <f t="shared" si="22"/>
        <v>20461.57453032563</v>
      </c>
      <c r="S54" s="339">
        <f t="shared" si="22"/>
        <v>20461.57453032563</v>
      </c>
      <c r="T54" s="339">
        <f t="shared" si="22"/>
        <v>20904.655988395589</v>
      </c>
      <c r="U54" s="339">
        <f t="shared" si="22"/>
        <v>16599.685781905911</v>
      </c>
      <c r="V54" s="339">
        <f t="shared" si="22"/>
        <v>16599.685781905911</v>
      </c>
      <c r="W54" s="339">
        <f t="shared" si="22"/>
        <v>16599.685781905911</v>
      </c>
      <c r="X54" s="339">
        <f t="shared" si="22"/>
        <v>16599.685781905915</v>
      </c>
      <c r="Y54" s="339">
        <f t="shared" si="22"/>
        <v>16599.685781905915</v>
      </c>
      <c r="Z54" s="339">
        <f t="shared" si="22"/>
        <v>16599.685781905915</v>
      </c>
      <c r="AA54" s="339">
        <f t="shared" si="22"/>
        <v>16599.685781905915</v>
      </c>
      <c r="AB54" s="339">
        <f t="shared" si="22"/>
        <v>16599.685781905915</v>
      </c>
      <c r="AC54" s="536"/>
      <c r="AD54" s="339">
        <f>AD53/AD4</f>
        <v>13395.042328221036</v>
      </c>
      <c r="AE54" s="434"/>
      <c r="AF54" s="434"/>
      <c r="AG54" s="539"/>
      <c r="AH54" s="531"/>
      <c r="AI54" s="531"/>
      <c r="AJ54" s="462" t="s">
        <v>130</v>
      </c>
    </row>
    <row r="55" spans="2:41" ht="50.15" customHeight="1" x14ac:dyDescent="0.35">
      <c r="B55" s="472" t="s">
        <v>131</v>
      </c>
      <c r="C55" s="342" t="s">
        <v>132</v>
      </c>
      <c r="D55" s="433"/>
      <c r="E55" s="434"/>
      <c r="F55" s="534"/>
      <c r="G55" s="1244">
        <f>(G53+H53)/(G4+H4)</f>
        <v>48172.596322598903</v>
      </c>
      <c r="H55" s="1245"/>
      <c r="I55" s="1244">
        <f>(I53+J53)/(I4+J4)</f>
        <v>43836.53098996343</v>
      </c>
      <c r="J55" s="1245"/>
      <c r="K55" s="433"/>
      <c r="L55" s="339">
        <f>L53/L4</f>
        <v>44007.895372888735</v>
      </c>
      <c r="M55" s="339">
        <f>M53/M4</f>
        <v>42072.622470252107</v>
      </c>
      <c r="N55" s="536"/>
      <c r="O55" s="434"/>
      <c r="P55" s="434"/>
      <c r="Q55" s="434"/>
      <c r="R55" s="434"/>
      <c r="S55" s="434"/>
      <c r="T55" s="434"/>
      <c r="U55" s="434"/>
      <c r="V55" s="434"/>
      <c r="W55" s="434"/>
      <c r="X55" s="434"/>
      <c r="Y55" s="434"/>
      <c r="Z55" s="434"/>
      <c r="AA55" s="434"/>
      <c r="AB55" s="434"/>
      <c r="AC55" s="536"/>
      <c r="AD55" s="434"/>
      <c r="AE55" s="434"/>
      <c r="AF55" s="434"/>
      <c r="AG55" s="539"/>
      <c r="AH55" s="531"/>
      <c r="AI55" s="531"/>
      <c r="AJ55" s="462" t="s">
        <v>132</v>
      </c>
    </row>
    <row r="56" spans="2:41" ht="50.15" customHeight="1" x14ac:dyDescent="0.35">
      <c r="B56" s="472" t="s">
        <v>133</v>
      </c>
      <c r="C56" s="431" t="s">
        <v>134</v>
      </c>
      <c r="D56" s="341">
        <f>D8+D13+D18+D23+D28+D33+D38+D43+D48</f>
        <v>1766251042.8323019</v>
      </c>
      <c r="E56" s="429">
        <f>E8+E13+E18+E23+E28+E33+E38+E43+E48</f>
        <v>232883941</v>
      </c>
      <c r="F56" s="533">
        <f>F8+F13+F18+F23+F28+F33+F38+F43+F48</f>
        <v>779024710.37947655</v>
      </c>
      <c r="G56" s="429">
        <f t="shared" ref="G56:AD56" si="23">G8+G13+G18+G23+G28+G33+G38+G43+G48</f>
        <v>427189379.143938</v>
      </c>
      <c r="H56" s="429">
        <f t="shared" si="23"/>
        <v>74656219.098909706</v>
      </c>
      <c r="I56" s="429">
        <f t="shared" si="23"/>
        <v>106139463.95924637</v>
      </c>
      <c r="J56" s="429">
        <f t="shared" si="23"/>
        <v>32175920.351883847</v>
      </c>
      <c r="K56" s="429">
        <f t="shared" si="23"/>
        <v>0</v>
      </c>
      <c r="L56" s="429">
        <f t="shared" si="23"/>
        <v>93939514.805415943</v>
      </c>
      <c r="M56" s="429">
        <f t="shared" si="23"/>
        <v>44924213.02008266</v>
      </c>
      <c r="N56" s="537">
        <f>N8+N13+N18+N23+N28+N33+N38+N43+N48</f>
        <v>27060404.829748463</v>
      </c>
      <c r="O56" s="429">
        <f t="shared" si="23"/>
        <v>22922279.308125343</v>
      </c>
      <c r="P56" s="429">
        <f t="shared" si="23"/>
        <v>1283400.7292068293</v>
      </c>
      <c r="Q56" s="429">
        <f t="shared" si="23"/>
        <v>770040.43752409774</v>
      </c>
      <c r="R56" s="429">
        <f t="shared" si="23"/>
        <v>461403.26345940062</v>
      </c>
      <c r="S56" s="429">
        <f t="shared" si="23"/>
        <v>503589.41662841477</v>
      </c>
      <c r="T56" s="429">
        <f t="shared" si="23"/>
        <v>247817.55683000872</v>
      </c>
      <c r="U56" s="429">
        <f t="shared" si="23"/>
        <v>159734.70802400698</v>
      </c>
      <c r="V56" s="429">
        <f t="shared" si="23"/>
        <v>128271.28877250652</v>
      </c>
      <c r="W56" s="429">
        <f t="shared" si="23"/>
        <v>129784.45026950567</v>
      </c>
      <c r="X56" s="429">
        <f t="shared" si="23"/>
        <v>85514.192515004353</v>
      </c>
      <c r="Y56" s="429">
        <f t="shared" si="23"/>
        <v>97706.900848337682</v>
      </c>
      <c r="Z56" s="429">
        <f t="shared" si="23"/>
        <v>99834.192515004353</v>
      </c>
      <c r="AA56" s="429">
        <f t="shared" si="23"/>
        <v>85514.192515004353</v>
      </c>
      <c r="AB56" s="429">
        <f t="shared" si="23"/>
        <v>85514.192515004353</v>
      </c>
      <c r="AC56" s="537">
        <f>AC8+AC13+AC18+AC23+AC28+AC33+AC38+AC43+AC48</f>
        <v>35388676.285870001</v>
      </c>
      <c r="AD56" s="429">
        <f t="shared" si="23"/>
        <v>28250000</v>
      </c>
      <c r="AE56" s="436"/>
      <c r="AF56" s="429">
        <f>AF8+AF13+AF18+AF23+AF28+AF33+AF38+AF43+AF48</f>
        <v>7138676.2858699989</v>
      </c>
      <c r="AG56" s="517"/>
      <c r="AH56" s="497">
        <f>AH8+AH13+AH18+AH23+AH28+AH33+AH38+AH43+AH48</f>
        <v>295090700.70883179</v>
      </c>
      <c r="AI56" s="528">
        <f>AH56/D56</f>
        <v>0.16707177720084121</v>
      </c>
      <c r="AJ56" s="463" t="s">
        <v>134</v>
      </c>
    </row>
    <row r="57" spans="2:41" ht="50.15" customHeight="1" x14ac:dyDescent="0.35">
      <c r="B57" s="472" t="s">
        <v>135</v>
      </c>
      <c r="C57" s="431" t="s">
        <v>136</v>
      </c>
      <c r="D57" s="435">
        <f>D53-D56</f>
        <v>-510075653.33363247</v>
      </c>
      <c r="E57" s="510">
        <f>E53-E56</f>
        <v>70452311.549999952</v>
      </c>
      <c r="F57" s="533">
        <f>F53-F56</f>
        <v>11746465.539720893</v>
      </c>
      <c r="G57" s="429">
        <f>G53-G56</f>
        <v>-37358252.602009833</v>
      </c>
      <c r="H57" s="429">
        <f t="shared" ref="H57:AF57" si="24">H53-H56</f>
        <v>17238617.585151151</v>
      </c>
      <c r="I57" s="429">
        <f t="shared" si="24"/>
        <v>11870055.489858463</v>
      </c>
      <c r="J57" s="429">
        <f t="shared" si="24"/>
        <v>-3333060.9846111983</v>
      </c>
      <c r="K57" s="429">
        <f t="shared" si="24"/>
        <v>25600000</v>
      </c>
      <c r="L57" s="429">
        <f t="shared" si="24"/>
        <v>-1522934.522349596</v>
      </c>
      <c r="M57" s="429">
        <f t="shared" si="24"/>
        <v>-747959.42631794512</v>
      </c>
      <c r="N57" s="537">
        <f t="shared" si="24"/>
        <v>-404899.75822734833</v>
      </c>
      <c r="O57" s="429">
        <f t="shared" si="24"/>
        <v>-1736997.9337687604</v>
      </c>
      <c r="P57" s="429">
        <f t="shared" si="24"/>
        <v>148909.4879159648</v>
      </c>
      <c r="Q57" s="429">
        <f t="shared" si="24"/>
        <v>-142900.75787223002</v>
      </c>
      <c r="R57" s="429">
        <f t="shared" si="24"/>
        <v>254751.84510199644</v>
      </c>
      <c r="S57" s="429">
        <f t="shared" si="24"/>
        <v>212565.6919329823</v>
      </c>
      <c r="T57" s="429">
        <f t="shared" si="24"/>
        <v>170275.56293790307</v>
      </c>
      <c r="U57" s="429">
        <f t="shared" si="24"/>
        <v>105860.26448648761</v>
      </c>
      <c r="V57" s="429">
        <f t="shared" si="24"/>
        <v>120723.99795608217</v>
      </c>
      <c r="W57" s="429">
        <f t="shared" si="24"/>
        <v>86011.464895271172</v>
      </c>
      <c r="X57" s="429">
        <f t="shared" si="24"/>
        <v>80482.665304054783</v>
      </c>
      <c r="Y57" s="429">
        <f t="shared" si="24"/>
        <v>68289.956970721454</v>
      </c>
      <c r="Z57" s="429">
        <f t="shared" si="24"/>
        <v>66162.665304054783</v>
      </c>
      <c r="AA57" s="429">
        <f t="shared" si="24"/>
        <v>80482.665304054783</v>
      </c>
      <c r="AB57" s="429">
        <f t="shared" si="24"/>
        <v>80482.665304054783</v>
      </c>
      <c r="AC57" s="537">
        <f t="shared" si="24"/>
        <v>-5303371.9464485869</v>
      </c>
      <c r="AD57" s="429">
        <f t="shared" si="24"/>
        <v>147489.7358285971</v>
      </c>
      <c r="AE57" s="436"/>
      <c r="AF57" s="429">
        <f t="shared" si="24"/>
        <v>-5450861.682277184</v>
      </c>
      <c r="AG57" s="518"/>
      <c r="AH57" s="541">
        <f>AH53-AH56</f>
        <v>-62583057.644545764</v>
      </c>
      <c r="AI57" s="542">
        <f>AI53-AI56</f>
        <v>1.8019926559632998E-2</v>
      </c>
      <c r="AJ57" s="463" t="s">
        <v>136</v>
      </c>
    </row>
    <row r="58" spans="2:41" ht="50.15" customHeight="1" x14ac:dyDescent="0.35">
      <c r="B58" s="472" t="s">
        <v>137</v>
      </c>
      <c r="C58" s="431" t="s">
        <v>138</v>
      </c>
      <c r="D58" s="436"/>
      <c r="E58" s="439"/>
      <c r="F58" s="533">
        <f>F56/(G4+H4+I4+J4+L4+M4)</f>
        <v>47213.618810877364</v>
      </c>
      <c r="G58" s="429">
        <f>G56/G4</f>
        <v>50257.574016933882</v>
      </c>
      <c r="H58" s="429">
        <f>H56/H4</f>
        <v>49770.812732606471</v>
      </c>
      <c r="I58" s="429">
        <f>I56/I4</f>
        <v>40822.870753556293</v>
      </c>
      <c r="J58" s="429">
        <f>J56/J4</f>
        <v>42901.227135845133</v>
      </c>
      <c r="K58" s="436"/>
      <c r="L58" s="429">
        <f>L56/L4</f>
        <v>44733.102288293303</v>
      </c>
      <c r="M58" s="429">
        <f>M56/M4</f>
        <v>42784.964781031107</v>
      </c>
      <c r="N58" s="537">
        <f>N56/(O4+P4+Q4+R4+T4+U4+V4+W4+X4+Y4+Z4+AA4+AB4)</f>
        <v>33867.840838233373</v>
      </c>
      <c r="O58" s="429">
        <f t="shared" ref="O58:AB58" si="25">O56/O4</f>
        <v>41676.871469318809</v>
      </c>
      <c r="P58" s="429">
        <f t="shared" si="25"/>
        <v>18334.296131526135</v>
      </c>
      <c r="Q58" s="429">
        <f t="shared" si="25"/>
        <v>25668.014584136592</v>
      </c>
      <c r="R58" s="429">
        <f t="shared" si="25"/>
        <v>13182.950384554304</v>
      </c>
      <c r="S58" s="429">
        <f t="shared" si="25"/>
        <v>14388.269046526137</v>
      </c>
      <c r="T58" s="429">
        <f t="shared" si="25"/>
        <v>12390.877841500436</v>
      </c>
      <c r="U58" s="429">
        <f t="shared" si="25"/>
        <v>9983.4192515004361</v>
      </c>
      <c r="V58" s="429">
        <f t="shared" si="25"/>
        <v>8551.4192515004343</v>
      </c>
      <c r="W58" s="429">
        <f t="shared" si="25"/>
        <v>9983.4192515004361</v>
      </c>
      <c r="X58" s="429">
        <f t="shared" si="25"/>
        <v>8551.4192515004361</v>
      </c>
      <c r="Y58" s="429">
        <f t="shared" si="25"/>
        <v>9770.6900848337682</v>
      </c>
      <c r="Z58" s="429">
        <f t="shared" si="25"/>
        <v>9983.4192515004361</v>
      </c>
      <c r="AA58" s="429">
        <f t="shared" si="25"/>
        <v>8551.4192515004361</v>
      </c>
      <c r="AB58" s="429">
        <f t="shared" si="25"/>
        <v>8551.4192515004361</v>
      </c>
      <c r="AC58" s="537">
        <f>AC56/AD4</f>
        <v>16692.771832957547</v>
      </c>
      <c r="AD58" s="429">
        <f>AD56/AD4</f>
        <v>13325.471698113208</v>
      </c>
      <c r="AE58" s="436"/>
      <c r="AF58" s="439"/>
      <c r="AG58" s="517"/>
      <c r="AH58" s="436"/>
      <c r="AI58" s="436"/>
      <c r="AJ58" s="463" t="s">
        <v>138</v>
      </c>
    </row>
    <row r="59" spans="2:41" ht="50.15" customHeight="1" x14ac:dyDescent="0.35">
      <c r="B59" s="472" t="s">
        <v>139</v>
      </c>
      <c r="C59" s="431" t="s">
        <v>140</v>
      </c>
      <c r="D59" s="438"/>
      <c r="E59" s="440"/>
      <c r="F59" s="533">
        <f>F54-F58</f>
        <v>711.90700240732986</v>
      </c>
      <c r="G59" s="341">
        <f>G54-G58</f>
        <v>-4395.0885414129225</v>
      </c>
      <c r="H59" s="341">
        <f>H54-H58</f>
        <v>11492.411723434103</v>
      </c>
      <c r="I59" s="341">
        <f>I54-I58</f>
        <v>4565.4059576378713</v>
      </c>
      <c r="J59" s="341">
        <f>J54-J58</f>
        <v>-4444.0813128149312</v>
      </c>
      <c r="K59" s="438"/>
      <c r="L59" s="341">
        <f t="shared" ref="L59:AD59" si="26">L54-L58</f>
        <v>-725.20691540456755</v>
      </c>
      <c r="M59" s="429">
        <f t="shared" si="26"/>
        <v>-712.3423107790004</v>
      </c>
      <c r="N59" s="538">
        <f t="shared" si="26"/>
        <v>-1906.8035822128513</v>
      </c>
      <c r="O59" s="341">
        <f t="shared" si="26"/>
        <v>-3158.1780613977462</v>
      </c>
      <c r="P59" s="341">
        <f t="shared" si="26"/>
        <v>2127.2783987994953</v>
      </c>
      <c r="Q59" s="341">
        <f t="shared" si="26"/>
        <v>-4763.3585957410032</v>
      </c>
      <c r="R59" s="341">
        <f t="shared" si="26"/>
        <v>7278.6241457713259</v>
      </c>
      <c r="S59" s="341">
        <f t="shared" si="26"/>
        <v>6073.3054837994932</v>
      </c>
      <c r="T59" s="341">
        <f t="shared" si="26"/>
        <v>8513.7781468951525</v>
      </c>
      <c r="U59" s="341">
        <f t="shared" si="26"/>
        <v>6616.2665304054754</v>
      </c>
      <c r="V59" s="341">
        <f t="shared" si="26"/>
        <v>8048.2665304054772</v>
      </c>
      <c r="W59" s="341">
        <f t="shared" si="26"/>
        <v>6616.2665304054754</v>
      </c>
      <c r="X59" s="341">
        <f t="shared" si="26"/>
        <v>8048.266530405479</v>
      </c>
      <c r="Y59" s="341">
        <f t="shared" si="26"/>
        <v>6828.9956970721469</v>
      </c>
      <c r="Z59" s="341">
        <f t="shared" si="26"/>
        <v>6616.266530405479</v>
      </c>
      <c r="AA59" s="341">
        <f t="shared" si="26"/>
        <v>8048.266530405479</v>
      </c>
      <c r="AB59" s="429">
        <f t="shared" si="26"/>
        <v>8048.266530405479</v>
      </c>
      <c r="AC59" s="538">
        <f t="shared" si="26"/>
        <v>-16692.771832957547</v>
      </c>
      <c r="AD59" s="341">
        <f t="shared" si="26"/>
        <v>69.570630107828038</v>
      </c>
      <c r="AE59" s="436"/>
      <c r="AF59" s="440"/>
      <c r="AG59" s="518"/>
      <c r="AH59" s="438"/>
      <c r="AI59" s="438"/>
      <c r="AJ59" s="463" t="s">
        <v>140</v>
      </c>
    </row>
    <row r="60" spans="2:41" ht="50.15" hidden="1" customHeight="1" x14ac:dyDescent="0.35">
      <c r="B60" s="472" t="s">
        <v>141</v>
      </c>
      <c r="C60" s="431" t="s">
        <v>142</v>
      </c>
      <c r="D60" s="341"/>
      <c r="E60" s="429"/>
      <c r="F60" s="513"/>
      <c r="G60" s="429">
        <f t="shared" ref="G60:AB60" si="27">G10+G15+G20+G25+G30+G35+G40+G45+G50</f>
        <v>460951808.13987368</v>
      </c>
      <c r="H60" s="429">
        <f t="shared" si="27"/>
        <v>80704760.536423668</v>
      </c>
      <c r="I60" s="429">
        <f t="shared" si="27"/>
        <v>118713857.43743642</v>
      </c>
      <c r="J60" s="429">
        <f t="shared" si="27"/>
        <v>36114902.697166629</v>
      </c>
      <c r="K60" s="429">
        <f t="shared" si="27"/>
        <v>0</v>
      </c>
      <c r="L60" s="429">
        <f t="shared" si="27"/>
        <v>105611578.71549784</v>
      </c>
      <c r="M60" s="429">
        <f t="shared" si="27"/>
        <v>50414373.208967604</v>
      </c>
      <c r="N60" s="429"/>
      <c r="O60" s="429">
        <f t="shared" si="27"/>
        <v>25525414.97383561</v>
      </c>
      <c r="P60" s="429">
        <f t="shared" si="27"/>
        <v>1402328.1310123883</v>
      </c>
      <c r="Q60" s="429">
        <f t="shared" si="27"/>
        <v>841396.87860743294</v>
      </c>
      <c r="R60" s="429">
        <f t="shared" si="27"/>
        <v>522453.73372837715</v>
      </c>
      <c r="S60" s="429">
        <f t="shared" si="27"/>
        <v>573077.11753119412</v>
      </c>
      <c r="T60" s="429">
        <f t="shared" si="27"/>
        <v>279535.24966863694</v>
      </c>
      <c r="U60" s="429">
        <f t="shared" si="27"/>
        <v>189691.26229490957</v>
      </c>
      <c r="V60" s="429">
        <f t="shared" si="27"/>
        <v>152059.55840147773</v>
      </c>
      <c r="W60" s="429">
        <f t="shared" si="27"/>
        <v>154124.15061461402</v>
      </c>
      <c r="X60" s="429">
        <f t="shared" si="27"/>
        <v>101373.03893431848</v>
      </c>
      <c r="Y60" s="429">
        <f t="shared" si="27"/>
        <v>116004.28893431849</v>
      </c>
      <c r="Z60" s="429">
        <f t="shared" si="27"/>
        <v>118557.03893431848</v>
      </c>
      <c r="AA60" s="429">
        <f t="shared" si="27"/>
        <v>101373.03893431848</v>
      </c>
      <c r="AB60" s="429">
        <f t="shared" si="27"/>
        <v>101373.03893431848</v>
      </c>
      <c r="AC60" s="429"/>
      <c r="AD60" s="436"/>
      <c r="AE60" s="436"/>
      <c r="AF60" s="429">
        <f>AF10+AF15+AF20+AF25+AF30+AF35+AF40+AF45+AF50</f>
        <v>600000</v>
      </c>
      <c r="AG60" s="517"/>
      <c r="AH60" s="341">
        <f>AH10+AH15+AH20+AH25+AH30+AH35+AH40+AH45+AH50</f>
        <v>-883290042.2357322</v>
      </c>
      <c r="AI60" s="341" t="e">
        <f>AI10+AI15+AI20+AI25+AI30+AI35+AI40+AI45+AI50</f>
        <v>#DIV/0!</v>
      </c>
      <c r="AJ60" s="463" t="s">
        <v>142</v>
      </c>
    </row>
    <row r="61" spans="2:41" ht="50.15" hidden="1" customHeight="1" x14ac:dyDescent="0.35">
      <c r="B61" s="472" t="s">
        <v>143</v>
      </c>
      <c r="C61" s="431" t="s">
        <v>144</v>
      </c>
      <c r="D61" s="435"/>
      <c r="E61" s="510"/>
      <c r="F61" s="513"/>
      <c r="G61" s="429">
        <f>G53-G60</f>
        <v>-71120681.597945511</v>
      </c>
      <c r="H61" s="429">
        <f t="shared" ref="H61:AF61" si="28">H53-H60</f>
        <v>11190076.147637188</v>
      </c>
      <c r="I61" s="429">
        <f t="shared" si="28"/>
        <v>-704337.98833158612</v>
      </c>
      <c r="J61" s="429">
        <f t="shared" si="28"/>
        <v>-7272043.3298939802</v>
      </c>
      <c r="K61" s="429">
        <f t="shared" si="28"/>
        <v>25600000</v>
      </c>
      <c r="L61" s="429">
        <f t="shared" si="28"/>
        <v>-13194998.432431489</v>
      </c>
      <c r="M61" s="429">
        <f t="shared" si="28"/>
        <v>-6238119.6152028888</v>
      </c>
      <c r="N61" s="429"/>
      <c r="O61" s="429">
        <f t="shared" si="28"/>
        <v>-4340133.5994790271</v>
      </c>
      <c r="P61" s="429">
        <f t="shared" si="28"/>
        <v>29982.086110405857</v>
      </c>
      <c r="Q61" s="429">
        <f t="shared" si="28"/>
        <v>-214257.19895556523</v>
      </c>
      <c r="R61" s="429">
        <f t="shared" si="28"/>
        <v>193701.37483301992</v>
      </c>
      <c r="S61" s="429">
        <f t="shared" si="28"/>
        <v>143077.99103020295</v>
      </c>
      <c r="T61" s="429">
        <f t="shared" si="28"/>
        <v>138557.87009927485</v>
      </c>
      <c r="U61" s="429">
        <f t="shared" si="28"/>
        <v>75903.710215585015</v>
      </c>
      <c r="V61" s="429">
        <f t="shared" si="28"/>
        <v>96935.728327110963</v>
      </c>
      <c r="W61" s="429">
        <f t="shared" si="28"/>
        <v>61671.764550162829</v>
      </c>
      <c r="X61" s="429">
        <f t="shared" si="28"/>
        <v>64623.818884740656</v>
      </c>
      <c r="Y61" s="429">
        <f t="shared" si="28"/>
        <v>49992.568884740642</v>
      </c>
      <c r="Z61" s="429">
        <f t="shared" si="28"/>
        <v>47439.818884740656</v>
      </c>
      <c r="AA61" s="429">
        <f t="shared" si="28"/>
        <v>64623.818884740656</v>
      </c>
      <c r="AB61" s="429">
        <f t="shared" si="28"/>
        <v>64623.818884740656</v>
      </c>
      <c r="AC61" s="429"/>
      <c r="AD61" s="436"/>
      <c r="AE61" s="436"/>
      <c r="AF61" s="429">
        <f t="shared" si="28"/>
        <v>1087814.6035928144</v>
      </c>
      <c r="AG61" s="518"/>
      <c r="AH61" s="435">
        <f>AH53-AH60</f>
        <v>1115797685.3000183</v>
      </c>
      <c r="AI61" s="435" t="e">
        <f>AI53-AI60</f>
        <v>#DIV/0!</v>
      </c>
      <c r="AJ61" s="463" t="s">
        <v>144</v>
      </c>
    </row>
    <row r="62" spans="2:41" ht="50.15" hidden="1" customHeight="1" x14ac:dyDescent="0.35">
      <c r="B62" s="472" t="s">
        <v>145</v>
      </c>
      <c r="C62" s="431" t="s">
        <v>146</v>
      </c>
      <c r="D62" s="436"/>
      <c r="E62" s="439"/>
      <c r="F62" s="513"/>
      <c r="G62" s="429">
        <f>G60/G4</f>
        <v>54229.624487043962</v>
      </c>
      <c r="H62" s="429">
        <f>H60/H4</f>
        <v>53803.173690949116</v>
      </c>
      <c r="I62" s="429">
        <f>I60/I4</f>
        <v>45659.175937475542</v>
      </c>
      <c r="J62" s="429">
        <f>J60/J4</f>
        <v>48153.203596222171</v>
      </c>
      <c r="K62" s="436"/>
      <c r="L62" s="429">
        <f>L60/L4</f>
        <v>50291.227959760872</v>
      </c>
      <c r="M62" s="429">
        <f>M60/M4</f>
        <v>48013.68877044534</v>
      </c>
      <c r="N62" s="429"/>
      <c r="O62" s="429">
        <f t="shared" ref="O62:AB62" si="29">O60/O4</f>
        <v>46409.845406973836</v>
      </c>
      <c r="P62" s="429">
        <f t="shared" si="29"/>
        <v>20033.259014462688</v>
      </c>
      <c r="Q62" s="429">
        <f t="shared" si="29"/>
        <v>28046.562620247765</v>
      </c>
      <c r="R62" s="429">
        <f t="shared" si="29"/>
        <v>14927.249535096489</v>
      </c>
      <c r="S62" s="429">
        <f t="shared" si="29"/>
        <v>16373.631929462688</v>
      </c>
      <c r="T62" s="429">
        <f t="shared" si="29"/>
        <v>13976.762483431847</v>
      </c>
      <c r="U62" s="429">
        <f t="shared" si="29"/>
        <v>11855.703893431848</v>
      </c>
      <c r="V62" s="429">
        <f t="shared" si="29"/>
        <v>10137.303893431848</v>
      </c>
      <c r="W62" s="429">
        <f t="shared" si="29"/>
        <v>11855.703893431848</v>
      </c>
      <c r="X62" s="429">
        <f t="shared" si="29"/>
        <v>10137.303893431848</v>
      </c>
      <c r="Y62" s="429">
        <f t="shared" si="29"/>
        <v>11600.42889343185</v>
      </c>
      <c r="Z62" s="429">
        <f t="shared" si="29"/>
        <v>11855.703893431848</v>
      </c>
      <c r="AA62" s="429">
        <f t="shared" si="29"/>
        <v>10137.303893431848</v>
      </c>
      <c r="AB62" s="429">
        <f t="shared" si="29"/>
        <v>10137.303893431848</v>
      </c>
      <c r="AC62" s="429"/>
      <c r="AD62" s="436"/>
      <c r="AE62" s="436"/>
      <c r="AF62" s="439"/>
      <c r="AG62" s="517"/>
      <c r="AH62" s="436"/>
      <c r="AI62" s="436"/>
      <c r="AJ62" s="463" t="s">
        <v>146</v>
      </c>
    </row>
    <row r="63" spans="2:41" ht="50.15" hidden="1" customHeight="1" x14ac:dyDescent="0.35">
      <c r="B63" s="472" t="s">
        <v>147</v>
      </c>
      <c r="C63" s="437" t="s">
        <v>148</v>
      </c>
      <c r="D63" s="438"/>
      <c r="E63" s="440"/>
      <c r="F63" s="514"/>
      <c r="G63" s="435">
        <f>G54-G62</f>
        <v>-8367.1390115230024</v>
      </c>
      <c r="H63" s="435">
        <f>H54-H62</f>
        <v>7460.0507650914587</v>
      </c>
      <c r="I63" s="435">
        <f>I54-I62</f>
        <v>-270.8992262813772</v>
      </c>
      <c r="J63" s="435">
        <f>J54-J62</f>
        <v>-9696.0577731919693</v>
      </c>
      <c r="K63" s="438"/>
      <c r="L63" s="435">
        <f t="shared" ref="L63:AB63" si="30">L54-L62</f>
        <v>-6283.3325868721367</v>
      </c>
      <c r="M63" s="435">
        <f t="shared" si="30"/>
        <v>-5941.0663001932335</v>
      </c>
      <c r="N63" s="435"/>
      <c r="O63" s="435">
        <f t="shared" si="30"/>
        <v>-7891.151999052774</v>
      </c>
      <c r="P63" s="435">
        <f t="shared" si="30"/>
        <v>428.31551586294154</v>
      </c>
      <c r="Q63" s="435">
        <f t="shared" si="30"/>
        <v>-7141.9066318521764</v>
      </c>
      <c r="R63" s="435">
        <f t="shared" si="30"/>
        <v>5534.3249952291408</v>
      </c>
      <c r="S63" s="435">
        <f t="shared" si="30"/>
        <v>4087.9426008629416</v>
      </c>
      <c r="T63" s="435">
        <f t="shared" si="30"/>
        <v>6927.8935049637421</v>
      </c>
      <c r="U63" s="435">
        <f t="shared" si="30"/>
        <v>4743.9818884740635</v>
      </c>
      <c r="V63" s="435">
        <f t="shared" si="30"/>
        <v>6462.3818884740631</v>
      </c>
      <c r="W63" s="435">
        <f t="shared" si="30"/>
        <v>4743.9818884740635</v>
      </c>
      <c r="X63" s="435">
        <f t="shared" si="30"/>
        <v>6462.3818884740667</v>
      </c>
      <c r="Y63" s="435">
        <f t="shared" si="30"/>
        <v>4999.2568884740649</v>
      </c>
      <c r="Z63" s="435">
        <f t="shared" si="30"/>
        <v>4743.9818884740671</v>
      </c>
      <c r="AA63" s="435">
        <f t="shared" si="30"/>
        <v>6462.3818884740667</v>
      </c>
      <c r="AB63" s="435">
        <f t="shared" si="30"/>
        <v>6462.3818884740667</v>
      </c>
      <c r="AC63" s="435"/>
      <c r="AD63" s="438"/>
      <c r="AE63" s="438"/>
      <c r="AF63" s="440"/>
      <c r="AG63" s="518"/>
      <c r="AH63" s="438"/>
      <c r="AI63" s="438"/>
      <c r="AJ63" s="464" t="s">
        <v>148</v>
      </c>
    </row>
    <row r="64" spans="2:41" ht="17.25" customHeight="1" x14ac:dyDescent="0.35">
      <c r="B64" s="472"/>
      <c r="C64" s="444" t="s">
        <v>149</v>
      </c>
      <c r="D64" s="305"/>
      <c r="E64" s="305"/>
      <c r="F64" s="305"/>
      <c r="G64" s="308"/>
      <c r="H64" s="308"/>
      <c r="I64" s="309"/>
      <c r="J64" s="308"/>
      <c r="K64" s="308"/>
      <c r="L64" s="308"/>
      <c r="M64" s="308"/>
      <c r="N64" s="305"/>
      <c r="O64" s="308"/>
      <c r="P64" s="308"/>
      <c r="Q64" s="308"/>
      <c r="R64" s="308"/>
      <c r="S64" s="308"/>
      <c r="T64" s="308"/>
      <c r="U64" s="308"/>
      <c r="V64" s="308"/>
      <c r="W64" s="308"/>
      <c r="X64" s="308"/>
      <c r="Y64" s="308"/>
      <c r="Z64" s="308"/>
      <c r="AA64" s="308"/>
      <c r="AB64" s="308"/>
      <c r="AC64" s="305"/>
      <c r="AD64" s="308"/>
      <c r="AE64" s="304"/>
      <c r="AF64" s="304"/>
      <c r="AG64" s="305"/>
      <c r="AH64" s="305"/>
      <c r="AI64" s="305"/>
      <c r="AJ64" s="302"/>
      <c r="AM64" s="452"/>
      <c r="AN64" s="452"/>
      <c r="AO64" s="452"/>
    </row>
    <row r="65" spans="2:36" ht="50.15" customHeight="1" x14ac:dyDescent="0.35">
      <c r="B65" s="472" t="s">
        <v>150</v>
      </c>
      <c r="C65" s="466" t="s">
        <v>151</v>
      </c>
      <c r="D65" s="337"/>
      <c r="E65" s="543"/>
      <c r="F65" s="549"/>
      <c r="G65" s="467">
        <v>445525028</v>
      </c>
      <c r="H65" s="467">
        <v>77980821</v>
      </c>
      <c r="I65" s="467">
        <v>104999393</v>
      </c>
      <c r="J65" s="467">
        <v>34536459</v>
      </c>
      <c r="K65" s="336"/>
      <c r="L65" s="467">
        <f>38247063+63004339</f>
        <v>101251402</v>
      </c>
      <c r="M65" s="467">
        <v>48191121</v>
      </c>
      <c r="N65" s="337"/>
      <c r="O65" s="543"/>
      <c r="P65" s="543"/>
      <c r="Q65" s="543"/>
      <c r="R65" s="543"/>
      <c r="S65" s="543"/>
      <c r="T65" s="543"/>
      <c r="U65" s="543"/>
      <c r="V65" s="543"/>
      <c r="W65" s="543"/>
      <c r="X65" s="543"/>
      <c r="Y65" s="543"/>
      <c r="Z65" s="543"/>
      <c r="AA65" s="543"/>
      <c r="AB65" s="543"/>
      <c r="AC65" s="543"/>
      <c r="AD65" s="543"/>
      <c r="AE65" s="543"/>
      <c r="AF65" s="543"/>
      <c r="AG65" s="543"/>
      <c r="AH65" s="543"/>
      <c r="AI65" s="543"/>
      <c r="AJ65" s="544"/>
    </row>
    <row r="66" spans="2:36" ht="50.15" customHeight="1" x14ac:dyDescent="0.35">
      <c r="B66" s="472" t="s">
        <v>152</v>
      </c>
      <c r="C66" s="431" t="s">
        <v>153</v>
      </c>
      <c r="D66" s="545"/>
      <c r="E66" s="481"/>
      <c r="F66" s="550"/>
      <c r="G66" s="469">
        <f>G53-G65</f>
        <v>-55693901.458071828</v>
      </c>
      <c r="H66" s="469">
        <f>H53-H65</f>
        <v>13914015.684060857</v>
      </c>
      <c r="I66" s="469">
        <f>I53-I65</f>
        <v>13010126.449104831</v>
      </c>
      <c r="J66" s="469">
        <f>J53-J65</f>
        <v>-5693599.632727351</v>
      </c>
      <c r="K66" s="479"/>
      <c r="L66" s="469">
        <f>L53-L65</f>
        <v>-8834821.7169336528</v>
      </c>
      <c r="M66" s="469">
        <f>M53-M65</f>
        <v>-4014867.4062352851</v>
      </c>
      <c r="N66" s="545"/>
      <c r="O66" s="481"/>
      <c r="P66" s="481"/>
      <c r="Q66" s="481"/>
      <c r="R66" s="481"/>
      <c r="S66" s="481"/>
      <c r="T66" s="481"/>
      <c r="U66" s="481"/>
      <c r="V66" s="481"/>
      <c r="W66" s="481"/>
      <c r="X66" s="481"/>
      <c r="Y66" s="481"/>
      <c r="Z66" s="481"/>
      <c r="AA66" s="481"/>
      <c r="AB66" s="481"/>
      <c r="AC66" s="481"/>
      <c r="AD66" s="481"/>
      <c r="AE66" s="481"/>
      <c r="AF66" s="481"/>
      <c r="AG66" s="481"/>
      <c r="AH66" s="481"/>
      <c r="AI66" s="481"/>
      <c r="AJ66" s="546"/>
    </row>
    <row r="67" spans="2:36" ht="50.15" customHeight="1" x14ac:dyDescent="0.35">
      <c r="B67" s="472" t="s">
        <v>154</v>
      </c>
      <c r="C67" s="466" t="s">
        <v>155</v>
      </c>
      <c r="D67" s="545"/>
      <c r="E67" s="481"/>
      <c r="F67" s="550"/>
      <c r="G67" s="467">
        <f>G65/G4</f>
        <v>52414.709176470591</v>
      </c>
      <c r="H67" s="467">
        <f>H65/H4</f>
        <v>51987.214</v>
      </c>
      <c r="I67" s="467">
        <f>I65/I4</f>
        <v>40384.381923076922</v>
      </c>
      <c r="J67" s="467">
        <f>J65/J4</f>
        <v>46048.612000000001</v>
      </c>
      <c r="K67" s="479"/>
      <c r="L67" s="467">
        <f>L65/L4</f>
        <v>48214.953333333331</v>
      </c>
      <c r="M67" s="467">
        <f>M65/M4</f>
        <v>45896.305714285714</v>
      </c>
      <c r="N67" s="545"/>
      <c r="O67" s="481"/>
      <c r="P67" s="481"/>
      <c r="Q67" s="481"/>
      <c r="R67" s="481"/>
      <c r="S67" s="481"/>
      <c r="T67" s="481"/>
      <c r="U67" s="481"/>
      <c r="V67" s="481"/>
      <c r="W67" s="481"/>
      <c r="X67" s="481"/>
      <c r="Y67" s="481"/>
      <c r="Z67" s="481"/>
      <c r="AA67" s="481"/>
      <c r="AB67" s="481"/>
      <c r="AC67" s="481"/>
      <c r="AD67" s="547"/>
      <c r="AE67" s="481"/>
      <c r="AF67" s="481"/>
      <c r="AG67" s="481"/>
      <c r="AH67" s="481"/>
      <c r="AI67" s="481"/>
      <c r="AJ67" s="546"/>
    </row>
    <row r="68" spans="2:36" ht="50.15" customHeight="1" x14ac:dyDescent="0.35">
      <c r="B68" s="472" t="s">
        <v>156</v>
      </c>
      <c r="C68" s="431" t="s">
        <v>157</v>
      </c>
      <c r="D68" s="545"/>
      <c r="E68" s="481"/>
      <c r="F68" s="550"/>
      <c r="G68" s="469">
        <f>G54-G67</f>
        <v>-6552.2237009496312</v>
      </c>
      <c r="H68" s="469">
        <f>H54-H67</f>
        <v>9276.0104560405744</v>
      </c>
      <c r="I68" s="469">
        <f>I54-I67</f>
        <v>5003.8947881172426</v>
      </c>
      <c r="J68" s="469">
        <f>J54-J67</f>
        <v>-7591.4661769697996</v>
      </c>
      <c r="K68" s="479"/>
      <c r="L68" s="469">
        <f>L54-L67</f>
        <v>-4207.0579604445957</v>
      </c>
      <c r="M68" s="469">
        <f>M54-M67</f>
        <v>-3823.6832440336075</v>
      </c>
      <c r="N68" s="545"/>
      <c r="O68" s="481"/>
      <c r="P68" s="481"/>
      <c r="Q68" s="481"/>
      <c r="R68" s="481"/>
      <c r="S68" s="481"/>
      <c r="T68" s="481"/>
      <c r="U68" s="481"/>
      <c r="V68" s="481"/>
      <c r="W68" s="481"/>
      <c r="X68" s="481"/>
      <c r="Y68" s="481"/>
      <c r="Z68" s="481"/>
      <c r="AA68" s="481"/>
      <c r="AB68" s="481"/>
      <c r="AC68" s="481"/>
      <c r="AD68" s="481"/>
      <c r="AE68" s="481"/>
      <c r="AF68" s="481"/>
      <c r="AG68" s="481"/>
      <c r="AH68" s="481"/>
      <c r="AI68" s="481"/>
      <c r="AJ68" s="546"/>
    </row>
    <row r="69" spans="2:36" ht="50.15" customHeight="1" x14ac:dyDescent="0.35">
      <c r="B69" s="472" t="s">
        <v>158</v>
      </c>
      <c r="C69" s="468" t="s">
        <v>159</v>
      </c>
      <c r="D69" s="545"/>
      <c r="E69" s="481"/>
      <c r="F69" s="550"/>
      <c r="G69" s="1242">
        <f>(G65+H65)/(G4+H4)</f>
        <v>52350.584900000002</v>
      </c>
      <c r="H69" s="1243"/>
      <c r="I69" s="1242">
        <f>(I65+J65)/(I4+J4)</f>
        <v>41652.493134328361</v>
      </c>
      <c r="J69" s="1243"/>
      <c r="K69" s="545"/>
      <c r="L69" s="543"/>
      <c r="M69" s="543"/>
      <c r="N69" s="481"/>
      <c r="O69" s="481"/>
      <c r="P69" s="481"/>
      <c r="Q69" s="481"/>
      <c r="R69" s="481"/>
      <c r="S69" s="481"/>
      <c r="T69" s="481"/>
      <c r="U69" s="481"/>
      <c r="V69" s="481"/>
      <c r="W69" s="481"/>
      <c r="X69" s="481"/>
      <c r="Y69" s="481"/>
      <c r="Z69" s="481"/>
      <c r="AA69" s="481"/>
      <c r="AB69" s="481"/>
      <c r="AC69" s="481"/>
      <c r="AD69" s="481"/>
      <c r="AE69" s="481"/>
      <c r="AF69" s="481"/>
      <c r="AG69" s="481"/>
      <c r="AH69" s="481"/>
      <c r="AI69" s="481"/>
      <c r="AJ69" s="546"/>
    </row>
    <row r="70" spans="2:36" ht="50.15" customHeight="1" x14ac:dyDescent="0.35">
      <c r="B70" s="472" t="s">
        <v>160</v>
      </c>
      <c r="C70" s="431" t="s">
        <v>161</v>
      </c>
      <c r="D70" s="545"/>
      <c r="E70" s="481"/>
      <c r="F70" s="550"/>
      <c r="G70" s="1252">
        <f>G55-G69</f>
        <v>-4177.9885774010982</v>
      </c>
      <c r="H70" s="1253"/>
      <c r="I70" s="1252">
        <f>I55-I69</f>
        <v>2184.0378556350697</v>
      </c>
      <c r="J70" s="1253"/>
      <c r="K70" s="545"/>
      <c r="L70" s="740"/>
      <c r="M70" s="740"/>
      <c r="N70" s="481"/>
      <c r="O70" s="481"/>
      <c r="P70" s="481"/>
      <c r="Q70" s="481"/>
      <c r="R70" s="481"/>
      <c r="S70" s="481"/>
      <c r="T70" s="481"/>
      <c r="U70" s="481"/>
      <c r="V70" s="481"/>
      <c r="W70" s="481"/>
      <c r="X70" s="481"/>
      <c r="Y70" s="481"/>
      <c r="Z70" s="481"/>
      <c r="AA70" s="481"/>
      <c r="AB70" s="481"/>
      <c r="AC70" s="481"/>
      <c r="AD70" s="481"/>
      <c r="AE70" s="481"/>
      <c r="AF70" s="481"/>
      <c r="AG70" s="481"/>
      <c r="AH70" s="481"/>
      <c r="AI70" s="481"/>
      <c r="AJ70" s="546"/>
    </row>
    <row r="71" spans="2:36" ht="50.15" customHeight="1" x14ac:dyDescent="0.35">
      <c r="B71" s="473" t="s">
        <v>162</v>
      </c>
      <c r="C71" s="468" t="s">
        <v>163</v>
      </c>
      <c r="D71" s="548"/>
      <c r="E71" s="740"/>
      <c r="F71" s="741"/>
      <c r="G71" s="474" t="s">
        <v>164</v>
      </c>
      <c r="H71" s="474" t="s">
        <v>165</v>
      </c>
      <c r="I71" s="474" t="s">
        <v>166</v>
      </c>
      <c r="J71" s="475" t="s">
        <v>167</v>
      </c>
      <c r="K71" s="485"/>
      <c r="L71" s="476" t="s">
        <v>168</v>
      </c>
      <c r="M71" s="474" t="s">
        <v>169</v>
      </c>
      <c r="N71" s="548"/>
      <c r="O71" s="740"/>
      <c r="P71" s="740"/>
      <c r="Q71" s="740"/>
      <c r="R71" s="740"/>
      <c r="S71" s="740"/>
      <c r="T71" s="740"/>
      <c r="U71" s="740"/>
      <c r="V71" s="740"/>
      <c r="W71" s="740"/>
      <c r="X71" s="740"/>
      <c r="Y71" s="740"/>
      <c r="Z71" s="740"/>
      <c r="AA71" s="740"/>
      <c r="AB71" s="740"/>
      <c r="AC71" s="740"/>
      <c r="AD71" s="742"/>
      <c r="AE71" s="740"/>
      <c r="AF71" s="740"/>
      <c r="AG71" s="740"/>
      <c r="AH71" s="740"/>
      <c r="AI71" s="740"/>
      <c r="AJ71" s="743"/>
    </row>
    <row r="72" spans="2:36" s="311" customFormat="1" ht="18.5" x14ac:dyDescent="0.35"/>
    <row r="73" spans="2:36" s="311" customFormat="1" ht="18.5" x14ac:dyDescent="0.35"/>
    <row r="74" spans="2:36" x14ac:dyDescent="0.35">
      <c r="G74" s="312"/>
      <c r="H74" s="313"/>
      <c r="I74" s="312"/>
      <c r="J74" s="312"/>
      <c r="K74" s="312"/>
      <c r="L74" s="312"/>
      <c r="M74" s="312"/>
      <c r="O74" s="312"/>
      <c r="P74" s="312"/>
      <c r="Q74" s="312"/>
      <c r="R74" s="312"/>
      <c r="S74" s="312"/>
      <c r="T74" s="312"/>
      <c r="U74" s="312"/>
      <c r="V74" s="312"/>
      <c r="W74" s="312"/>
      <c r="X74" s="312"/>
      <c r="Y74" s="312"/>
      <c r="Z74" s="312"/>
      <c r="AA74" s="312"/>
      <c r="AB74" s="312"/>
      <c r="AD74" s="313"/>
    </row>
    <row r="75" spans="2:36" x14ac:dyDescent="0.35">
      <c r="G75" s="312"/>
      <c r="H75" s="313"/>
      <c r="I75" s="312"/>
      <c r="J75" s="312"/>
      <c r="K75" s="312"/>
      <c r="L75" s="312"/>
      <c r="M75" s="312"/>
      <c r="O75" s="312"/>
      <c r="P75" s="312"/>
      <c r="Q75" s="312"/>
      <c r="R75" s="312"/>
      <c r="S75" s="312"/>
      <c r="T75" s="312"/>
      <c r="U75" s="312"/>
      <c r="V75" s="312"/>
      <c r="W75" s="312"/>
      <c r="X75" s="312"/>
      <c r="Y75" s="312"/>
      <c r="Z75" s="312"/>
      <c r="AA75" s="312"/>
      <c r="AB75" s="312"/>
      <c r="AD75" s="313"/>
    </row>
    <row r="76" spans="2:36" x14ac:dyDescent="0.35">
      <c r="G76" s="312"/>
      <c r="H76" s="313"/>
      <c r="I76" s="312"/>
      <c r="J76" s="312"/>
      <c r="K76" s="312"/>
      <c r="L76" s="312"/>
      <c r="M76" s="312"/>
      <c r="O76" s="312"/>
      <c r="P76" s="312"/>
      <c r="Q76" s="312"/>
      <c r="R76" s="312"/>
      <c r="S76" s="312"/>
      <c r="T76" s="312"/>
      <c r="U76" s="312"/>
      <c r="V76" s="312"/>
      <c r="W76" s="312"/>
      <c r="X76" s="312"/>
      <c r="Y76" s="312"/>
      <c r="Z76" s="312"/>
      <c r="AA76" s="312"/>
      <c r="AB76" s="312"/>
      <c r="AD76" s="313"/>
    </row>
    <row r="77" spans="2:36" x14ac:dyDescent="0.35">
      <c r="G77" s="312"/>
      <c r="H77" s="313"/>
      <c r="I77" s="312"/>
      <c r="J77" s="312"/>
      <c r="K77" s="312"/>
      <c r="L77" s="312"/>
      <c r="M77" s="312"/>
      <c r="O77" s="312"/>
      <c r="P77" s="312"/>
      <c r="Q77" s="312"/>
      <c r="R77" s="312"/>
      <c r="S77" s="312"/>
      <c r="T77" s="312"/>
      <c r="U77" s="312"/>
      <c r="V77" s="312"/>
      <c r="W77" s="312"/>
      <c r="X77" s="312"/>
      <c r="Y77" s="312"/>
      <c r="Z77" s="312"/>
      <c r="AA77" s="312"/>
      <c r="AB77" s="312"/>
      <c r="AD77" s="313"/>
    </row>
    <row r="78" spans="2:36" x14ac:dyDescent="0.35">
      <c r="G78" s="312"/>
      <c r="H78" s="313"/>
      <c r="I78" s="312"/>
      <c r="J78" s="312"/>
      <c r="K78" s="312"/>
      <c r="L78" s="312"/>
      <c r="M78" s="312"/>
      <c r="O78" s="312"/>
      <c r="P78" s="312"/>
      <c r="Q78" s="312"/>
      <c r="R78" s="312"/>
      <c r="S78" s="312"/>
      <c r="T78" s="312"/>
      <c r="U78" s="312"/>
      <c r="V78" s="312"/>
      <c r="W78" s="312"/>
      <c r="X78" s="312"/>
      <c r="Y78" s="312"/>
      <c r="Z78" s="312"/>
      <c r="AA78" s="312"/>
      <c r="AB78" s="312"/>
      <c r="AD78" s="313"/>
    </row>
    <row r="79" spans="2:36" x14ac:dyDescent="0.35">
      <c r="G79" s="312"/>
      <c r="H79" s="313"/>
      <c r="I79" s="312"/>
      <c r="J79" s="312"/>
      <c r="K79" s="312"/>
      <c r="L79" s="312"/>
      <c r="M79" s="312"/>
      <c r="O79" s="312"/>
      <c r="P79" s="312"/>
      <c r="Q79" s="312"/>
      <c r="R79" s="312"/>
      <c r="S79" s="312"/>
      <c r="T79" s="312"/>
      <c r="U79" s="312"/>
      <c r="V79" s="312"/>
      <c r="W79" s="312"/>
      <c r="X79" s="312"/>
      <c r="Y79" s="312"/>
      <c r="Z79" s="312"/>
      <c r="AA79" s="312"/>
      <c r="AB79" s="312"/>
      <c r="AD79" s="313"/>
    </row>
    <row r="80" spans="2:36" x14ac:dyDescent="0.35">
      <c r="G80" s="312"/>
      <c r="H80" s="313"/>
      <c r="I80" s="312"/>
      <c r="J80" s="312"/>
      <c r="K80" s="312"/>
      <c r="L80" s="312"/>
      <c r="M80" s="312"/>
      <c r="O80" s="312"/>
      <c r="P80" s="312"/>
      <c r="Q80" s="312"/>
      <c r="R80" s="312"/>
      <c r="S80" s="312"/>
      <c r="T80" s="312"/>
      <c r="U80" s="312"/>
      <c r="V80" s="312"/>
      <c r="W80" s="312"/>
      <c r="X80" s="312"/>
      <c r="Y80" s="312"/>
      <c r="Z80" s="312"/>
      <c r="AA80" s="312"/>
      <c r="AB80" s="312"/>
      <c r="AD80" s="313"/>
    </row>
    <row r="81" spans="7:30" x14ac:dyDescent="0.35">
      <c r="G81" s="312"/>
      <c r="H81" s="313"/>
      <c r="I81" s="314"/>
      <c r="J81" s="315"/>
      <c r="K81" s="314"/>
      <c r="L81" s="315"/>
      <c r="M81" s="316"/>
      <c r="O81" s="312"/>
      <c r="P81" s="312"/>
      <c r="Q81" s="312"/>
      <c r="R81" s="312"/>
      <c r="S81" s="312"/>
      <c r="T81" s="312"/>
      <c r="U81" s="312"/>
      <c r="V81" s="312"/>
      <c r="W81" s="312"/>
      <c r="X81" s="312"/>
      <c r="Y81" s="312"/>
      <c r="Z81" s="312"/>
      <c r="AA81" s="312"/>
      <c r="AB81" s="312"/>
      <c r="AD81" s="313"/>
    </row>
    <row r="82" spans="7:30" x14ac:dyDescent="0.35">
      <c r="G82" s="312"/>
      <c r="H82" s="313"/>
      <c r="I82" s="316"/>
      <c r="J82" s="316"/>
      <c r="K82" s="314"/>
      <c r="L82" s="316"/>
      <c r="M82" s="316"/>
      <c r="O82" s="316"/>
      <c r="P82" s="312"/>
      <c r="Q82" s="312"/>
      <c r="R82" s="312"/>
      <c r="S82" s="312"/>
      <c r="T82" s="312"/>
      <c r="U82" s="312"/>
      <c r="V82" s="312"/>
      <c r="W82" s="312"/>
      <c r="X82" s="312"/>
      <c r="Y82" s="312"/>
      <c r="Z82" s="312"/>
      <c r="AA82" s="312"/>
      <c r="AB82" s="312"/>
      <c r="AD82" s="313"/>
    </row>
    <row r="83" spans="7:30" x14ac:dyDescent="0.35">
      <c r="G83" s="312"/>
      <c r="H83" s="313"/>
      <c r="I83" s="312"/>
      <c r="J83" s="312"/>
      <c r="K83" s="312"/>
      <c r="L83" s="312"/>
      <c r="M83" s="312"/>
      <c r="O83" s="312"/>
      <c r="P83" s="312"/>
      <c r="Q83" s="312"/>
      <c r="R83" s="312"/>
      <c r="S83" s="312"/>
      <c r="T83" s="312"/>
      <c r="U83" s="312"/>
      <c r="V83" s="312"/>
      <c r="W83" s="312"/>
      <c r="X83" s="312"/>
      <c r="Y83" s="312"/>
      <c r="Z83" s="312"/>
      <c r="AA83" s="312"/>
      <c r="AB83" s="312"/>
      <c r="AD83" s="313"/>
    </row>
    <row r="84" spans="7:30" x14ac:dyDescent="0.35">
      <c r="G84" s="312"/>
      <c r="H84" s="313"/>
      <c r="I84" s="312"/>
      <c r="J84" s="312"/>
      <c r="K84" s="312"/>
      <c r="L84" s="312"/>
      <c r="M84" s="312"/>
      <c r="O84" s="312"/>
      <c r="P84" s="312"/>
      <c r="Q84" s="312"/>
      <c r="R84" s="312"/>
      <c r="S84" s="312"/>
      <c r="T84" s="312"/>
      <c r="U84" s="312"/>
      <c r="V84" s="312"/>
      <c r="W84" s="312"/>
      <c r="X84" s="312"/>
      <c r="Y84" s="312"/>
      <c r="Z84" s="312"/>
      <c r="AA84" s="312"/>
      <c r="AB84" s="312"/>
      <c r="AD84" s="313"/>
    </row>
    <row r="85" spans="7:30" x14ac:dyDescent="0.35">
      <c r="G85" s="312"/>
      <c r="H85" s="313"/>
      <c r="I85" s="312"/>
      <c r="J85" s="312"/>
      <c r="K85" s="312"/>
      <c r="L85" s="312"/>
      <c r="M85" s="316"/>
      <c r="O85" s="312"/>
      <c r="P85" s="312"/>
      <c r="Q85" s="312"/>
      <c r="R85" s="312"/>
      <c r="S85" s="312"/>
      <c r="T85" s="312"/>
      <c r="U85" s="312"/>
      <c r="V85" s="312"/>
      <c r="W85" s="312"/>
      <c r="X85" s="312"/>
      <c r="Y85" s="312"/>
      <c r="Z85" s="312"/>
      <c r="AA85" s="312"/>
      <c r="AB85" s="312"/>
      <c r="AD85" s="313"/>
    </row>
    <row r="86" spans="7:30" x14ac:dyDescent="0.35">
      <c r="G86" s="312"/>
      <c r="H86" s="313"/>
      <c r="I86" s="312"/>
      <c r="J86" s="312"/>
      <c r="K86" s="312"/>
      <c r="L86" s="312"/>
      <c r="M86" s="312"/>
      <c r="O86" s="312"/>
      <c r="P86" s="312"/>
      <c r="Q86" s="312"/>
      <c r="R86" s="312"/>
      <c r="S86" s="312"/>
      <c r="T86" s="312"/>
      <c r="U86" s="312"/>
      <c r="V86" s="312"/>
      <c r="W86" s="312"/>
      <c r="X86" s="312"/>
      <c r="Y86" s="312"/>
      <c r="Z86" s="312"/>
      <c r="AA86" s="312"/>
      <c r="AB86" s="312"/>
      <c r="AD86" s="313"/>
    </row>
    <row r="87" spans="7:30" x14ac:dyDescent="0.35">
      <c r="G87" s="312"/>
      <c r="H87" s="313"/>
      <c r="I87" s="312"/>
      <c r="J87" s="312"/>
      <c r="K87" s="312"/>
      <c r="L87" s="312"/>
      <c r="M87" s="312"/>
      <c r="O87" s="312"/>
      <c r="P87" s="312"/>
      <c r="Q87" s="312"/>
      <c r="R87" s="312"/>
      <c r="S87" s="312"/>
      <c r="T87" s="312"/>
      <c r="U87" s="312"/>
      <c r="V87" s="312"/>
      <c r="W87" s="312"/>
      <c r="X87" s="312"/>
      <c r="Y87" s="312"/>
      <c r="Z87" s="312"/>
      <c r="AA87" s="312"/>
      <c r="AB87" s="312"/>
      <c r="AD87" s="313"/>
    </row>
    <row r="88" spans="7:30" x14ac:dyDescent="0.35">
      <c r="G88" s="312"/>
      <c r="H88" s="313"/>
      <c r="I88" s="312"/>
      <c r="J88" s="312"/>
      <c r="K88" s="312"/>
      <c r="L88" s="312"/>
      <c r="M88" s="312"/>
      <c r="O88" s="312"/>
      <c r="P88" s="312"/>
      <c r="Q88" s="312"/>
      <c r="R88" s="312"/>
      <c r="S88" s="312"/>
      <c r="T88" s="312"/>
      <c r="U88" s="312"/>
      <c r="V88" s="312"/>
      <c r="W88" s="312"/>
      <c r="X88" s="312"/>
      <c r="Y88" s="312"/>
      <c r="Z88" s="312"/>
      <c r="AA88" s="312"/>
      <c r="AB88" s="312"/>
      <c r="AD88" s="313"/>
    </row>
    <row r="89" spans="7:30" x14ac:dyDescent="0.35">
      <c r="G89" s="312"/>
      <c r="H89" s="313"/>
      <c r="I89" s="312"/>
      <c r="J89" s="312"/>
      <c r="K89" s="312"/>
      <c r="L89" s="312"/>
      <c r="M89" s="312"/>
      <c r="O89" s="312"/>
      <c r="P89" s="312"/>
      <c r="Q89" s="312"/>
      <c r="R89" s="312"/>
      <c r="S89" s="312"/>
      <c r="T89" s="312"/>
      <c r="U89" s="312"/>
      <c r="V89" s="312"/>
      <c r="W89" s="312"/>
      <c r="X89" s="312"/>
      <c r="Y89" s="312"/>
      <c r="Z89" s="312"/>
      <c r="AA89" s="312"/>
      <c r="AB89" s="312"/>
      <c r="AD89" s="313"/>
    </row>
    <row r="90" spans="7:30" x14ac:dyDescent="0.35">
      <c r="G90" s="312"/>
      <c r="H90" s="313"/>
      <c r="I90" s="312"/>
      <c r="J90" s="312"/>
      <c r="K90" s="312"/>
      <c r="L90" s="312"/>
      <c r="M90" s="312"/>
      <c r="O90" s="312"/>
      <c r="P90" s="312"/>
      <c r="Q90" s="312"/>
      <c r="R90" s="312"/>
      <c r="S90" s="312"/>
      <c r="T90" s="312"/>
      <c r="U90" s="312"/>
      <c r="V90" s="312"/>
      <c r="W90" s="312"/>
      <c r="X90" s="312"/>
      <c r="Y90" s="312"/>
      <c r="Z90" s="312"/>
      <c r="AA90" s="312"/>
      <c r="AB90" s="312"/>
      <c r="AD90" s="313"/>
    </row>
    <row r="91" spans="7:30" x14ac:dyDescent="0.35">
      <c r="G91" s="312"/>
      <c r="H91" s="313"/>
      <c r="I91" s="312"/>
      <c r="J91" s="312"/>
      <c r="K91" s="312"/>
      <c r="L91" s="312"/>
      <c r="M91" s="312"/>
      <c r="O91" s="312"/>
      <c r="P91" s="312"/>
      <c r="Q91" s="312"/>
      <c r="R91" s="312"/>
      <c r="S91" s="312"/>
      <c r="T91" s="312"/>
      <c r="U91" s="312"/>
      <c r="V91" s="312"/>
      <c r="W91" s="312"/>
      <c r="X91" s="312"/>
      <c r="Y91" s="312"/>
      <c r="Z91" s="312"/>
      <c r="AA91" s="312"/>
      <c r="AB91" s="312"/>
      <c r="AD91" s="313"/>
    </row>
    <row r="92" spans="7:30" x14ac:dyDescent="0.35">
      <c r="G92" s="312"/>
      <c r="H92" s="313"/>
      <c r="I92" s="312"/>
      <c r="J92" s="312"/>
      <c r="K92" s="312"/>
      <c r="L92" s="312"/>
      <c r="M92" s="312"/>
      <c r="O92" s="312"/>
      <c r="P92" s="312"/>
      <c r="Q92" s="312"/>
      <c r="R92" s="312"/>
      <c r="S92" s="312"/>
      <c r="T92" s="312"/>
      <c r="U92" s="312"/>
      <c r="V92" s="312"/>
      <c r="W92" s="312"/>
      <c r="X92" s="312"/>
      <c r="Y92" s="312"/>
      <c r="Z92" s="312"/>
      <c r="AA92" s="312"/>
      <c r="AD92" s="313"/>
    </row>
    <row r="93" spans="7:30" x14ac:dyDescent="0.35">
      <c r="G93" s="312"/>
      <c r="H93" s="313"/>
      <c r="I93" s="312"/>
      <c r="J93" s="312"/>
      <c r="K93" s="312"/>
      <c r="L93" s="312"/>
      <c r="M93" s="312"/>
      <c r="O93" s="312"/>
      <c r="P93" s="312"/>
      <c r="Q93" s="312"/>
      <c r="R93" s="312"/>
      <c r="S93" s="312"/>
      <c r="T93" s="312"/>
      <c r="U93" s="312"/>
      <c r="V93" s="312"/>
      <c r="W93" s="312"/>
      <c r="X93" s="312"/>
      <c r="Y93" s="312"/>
      <c r="Z93" s="312"/>
      <c r="AA93" s="312"/>
      <c r="AB93" s="312"/>
      <c r="AD93" s="313"/>
    </row>
    <row r="94" spans="7:30" x14ac:dyDescent="0.35">
      <c r="G94" s="312"/>
      <c r="H94" s="313"/>
      <c r="I94" s="312"/>
      <c r="J94" s="312"/>
      <c r="K94" s="312"/>
      <c r="L94" s="312"/>
      <c r="M94" s="312"/>
      <c r="O94" s="312"/>
      <c r="P94" s="312"/>
      <c r="Q94" s="312"/>
      <c r="R94" s="312"/>
      <c r="S94" s="312"/>
      <c r="T94" s="312"/>
      <c r="U94" s="312"/>
      <c r="V94" s="312"/>
      <c r="W94" s="312"/>
      <c r="X94" s="312"/>
      <c r="Y94" s="312"/>
      <c r="Z94" s="312"/>
      <c r="AA94" s="312"/>
      <c r="AB94" s="312"/>
      <c r="AD94" s="313"/>
    </row>
    <row r="95" spans="7:30" x14ac:dyDescent="0.35">
      <c r="G95" s="312"/>
      <c r="H95" s="313"/>
      <c r="I95" s="312"/>
      <c r="J95" s="312"/>
      <c r="K95" s="312"/>
      <c r="L95" s="312"/>
      <c r="M95" s="312"/>
      <c r="O95" s="312"/>
      <c r="P95" s="312"/>
      <c r="Q95" s="312"/>
      <c r="R95" s="312"/>
      <c r="S95" s="312"/>
      <c r="T95" s="312"/>
      <c r="U95" s="312"/>
      <c r="V95" s="312"/>
      <c r="W95" s="312"/>
      <c r="X95" s="312"/>
      <c r="Y95" s="312"/>
      <c r="Z95" s="312"/>
      <c r="AA95" s="312"/>
      <c r="AB95" s="315"/>
      <c r="AD95" s="313"/>
    </row>
    <row r="96" spans="7:30" x14ac:dyDescent="0.35">
      <c r="G96" s="312"/>
      <c r="H96" s="313"/>
      <c r="I96" s="312"/>
      <c r="J96" s="312"/>
      <c r="K96" s="312"/>
      <c r="L96" s="312"/>
      <c r="M96" s="312"/>
      <c r="O96" s="312"/>
      <c r="P96" s="312"/>
      <c r="Q96" s="312"/>
      <c r="R96" s="312"/>
      <c r="S96" s="312"/>
      <c r="T96" s="312"/>
      <c r="U96" s="312"/>
      <c r="V96" s="312"/>
      <c r="W96" s="312"/>
      <c r="X96" s="312"/>
      <c r="Y96" s="312"/>
      <c r="Z96" s="312"/>
      <c r="AA96" s="312"/>
      <c r="AB96" s="315"/>
      <c r="AD96" s="313"/>
    </row>
    <row r="97" spans="7:30" x14ac:dyDescent="0.35">
      <c r="G97" s="312"/>
      <c r="H97" s="313"/>
      <c r="I97" s="312"/>
      <c r="J97" s="312"/>
      <c r="K97" s="312"/>
      <c r="L97" s="312"/>
      <c r="M97" s="312"/>
      <c r="O97" s="312"/>
      <c r="P97" s="312"/>
      <c r="Q97" s="312"/>
      <c r="R97" s="312"/>
      <c r="S97" s="312"/>
      <c r="T97" s="312"/>
      <c r="U97" s="312"/>
      <c r="V97" s="312"/>
      <c r="W97" s="312"/>
      <c r="X97" s="312"/>
      <c r="Y97" s="312"/>
      <c r="Z97" s="312"/>
      <c r="AA97" s="312"/>
      <c r="AB97" s="315"/>
      <c r="AD97" s="313"/>
    </row>
    <row r="98" spans="7:30" x14ac:dyDescent="0.35">
      <c r="G98" s="312"/>
      <c r="H98" s="313"/>
      <c r="I98" s="312"/>
      <c r="J98" s="312"/>
      <c r="K98" s="312"/>
      <c r="L98" s="312"/>
      <c r="M98" s="312"/>
      <c r="O98" s="312"/>
      <c r="P98" s="312"/>
      <c r="Q98" s="312"/>
      <c r="R98" s="312"/>
      <c r="S98" s="312"/>
      <c r="T98" s="312"/>
      <c r="U98" s="312"/>
      <c r="V98" s="312"/>
      <c r="W98" s="312"/>
      <c r="X98" s="312"/>
      <c r="Y98" s="312"/>
      <c r="Z98" s="312"/>
      <c r="AA98" s="312"/>
      <c r="AB98" s="312"/>
      <c r="AD98" s="313"/>
    </row>
    <row r="99" spans="7:30" x14ac:dyDescent="0.35">
      <c r="G99" s="312"/>
      <c r="H99" s="313"/>
      <c r="I99" s="312"/>
      <c r="J99" s="312"/>
      <c r="K99" s="312"/>
      <c r="L99" s="312"/>
      <c r="M99" s="312"/>
      <c r="O99" s="312"/>
      <c r="P99" s="312"/>
      <c r="Q99" s="312"/>
      <c r="R99" s="312"/>
      <c r="S99" s="312"/>
      <c r="T99" s="312"/>
      <c r="U99" s="312"/>
      <c r="V99" s="312"/>
      <c r="W99" s="312"/>
      <c r="X99" s="312"/>
      <c r="Y99" s="312"/>
      <c r="Z99" s="312"/>
      <c r="AA99" s="312"/>
      <c r="AB99" s="315"/>
      <c r="AD99" s="313"/>
    </row>
    <row r="100" spans="7:30" x14ac:dyDescent="0.35">
      <c r="G100" s="312"/>
      <c r="H100" s="313"/>
      <c r="I100" s="312"/>
      <c r="J100" s="312"/>
      <c r="K100" s="312"/>
      <c r="L100" s="312"/>
      <c r="M100" s="312"/>
      <c r="O100" s="312"/>
      <c r="P100" s="312"/>
      <c r="Q100" s="312"/>
      <c r="R100" s="312"/>
      <c r="S100" s="312"/>
      <c r="T100" s="312"/>
      <c r="U100" s="312"/>
      <c r="V100" s="312"/>
      <c r="W100" s="312"/>
      <c r="X100" s="312"/>
      <c r="Y100" s="312"/>
      <c r="Z100" s="312"/>
      <c r="AA100" s="312"/>
      <c r="AB100" s="312"/>
      <c r="AD100" s="313"/>
    </row>
    <row r="101" spans="7:30" x14ac:dyDescent="0.35">
      <c r="G101" s="312"/>
      <c r="H101" s="313"/>
      <c r="I101" s="312"/>
      <c r="J101" s="312"/>
      <c r="K101" s="312"/>
      <c r="L101" s="312"/>
      <c r="M101" s="312"/>
      <c r="O101" s="312"/>
      <c r="P101" s="312"/>
      <c r="Q101" s="312"/>
      <c r="R101" s="312"/>
      <c r="S101" s="312"/>
      <c r="T101" s="312"/>
      <c r="U101" s="312"/>
      <c r="V101" s="312"/>
      <c r="W101" s="312"/>
      <c r="X101" s="312"/>
      <c r="Y101" s="312"/>
      <c r="Z101" s="312"/>
      <c r="AA101" s="312"/>
      <c r="AB101" s="312"/>
      <c r="AD101" s="313"/>
    </row>
    <row r="102" spans="7:30" x14ac:dyDescent="0.35">
      <c r="G102" s="312"/>
      <c r="H102" s="313"/>
      <c r="I102" s="312"/>
      <c r="J102" s="312"/>
      <c r="K102" s="312"/>
      <c r="L102" s="312"/>
      <c r="M102" s="312"/>
      <c r="O102" s="312"/>
      <c r="P102" s="312"/>
      <c r="Q102" s="312"/>
      <c r="R102" s="312"/>
      <c r="S102" s="312"/>
      <c r="T102" s="312"/>
      <c r="U102" s="312"/>
      <c r="V102" s="312"/>
      <c r="W102" s="312"/>
      <c r="X102" s="312"/>
      <c r="Y102" s="312"/>
      <c r="Z102" s="312"/>
      <c r="AA102" s="312"/>
      <c r="AB102" s="312"/>
      <c r="AD102" s="313"/>
    </row>
    <row r="103" spans="7:30" x14ac:dyDescent="0.35">
      <c r="G103" s="312"/>
      <c r="H103" s="313"/>
      <c r="I103" s="312"/>
      <c r="J103" s="312"/>
      <c r="K103" s="312"/>
      <c r="L103" s="312"/>
      <c r="M103" s="312"/>
      <c r="O103" s="312"/>
      <c r="P103" s="312"/>
      <c r="Q103" s="312"/>
      <c r="R103" s="312"/>
      <c r="S103" s="312"/>
      <c r="T103" s="312"/>
      <c r="U103" s="312"/>
      <c r="V103" s="312"/>
      <c r="W103" s="312"/>
      <c r="X103" s="312"/>
      <c r="Y103" s="312"/>
      <c r="Z103" s="312"/>
      <c r="AA103" s="312"/>
      <c r="AB103" s="312"/>
      <c r="AD103" s="313"/>
    </row>
    <row r="104" spans="7:30" x14ac:dyDescent="0.35">
      <c r="G104" s="312"/>
      <c r="H104" s="313"/>
      <c r="I104" s="312"/>
      <c r="J104" s="312"/>
      <c r="K104" s="312"/>
      <c r="L104" s="312"/>
      <c r="M104" s="312"/>
      <c r="O104" s="312"/>
      <c r="P104" s="312"/>
      <c r="Q104" s="312"/>
      <c r="R104" s="312"/>
      <c r="S104" s="312"/>
      <c r="T104" s="312"/>
      <c r="U104" s="312"/>
      <c r="V104" s="312"/>
      <c r="W104" s="312"/>
      <c r="X104" s="312"/>
      <c r="Y104" s="312"/>
      <c r="Z104" s="312"/>
      <c r="AA104" s="312"/>
      <c r="AB104" s="312"/>
      <c r="AD104" s="313"/>
    </row>
    <row r="105" spans="7:30" x14ac:dyDescent="0.35">
      <c r="G105" s="312"/>
      <c r="H105" s="313"/>
      <c r="I105" s="312"/>
      <c r="J105" s="312"/>
      <c r="K105" s="312"/>
      <c r="L105" s="312"/>
      <c r="M105" s="312"/>
      <c r="O105" s="312"/>
      <c r="P105" s="312"/>
      <c r="Q105" s="312"/>
      <c r="R105" s="312"/>
      <c r="S105" s="312"/>
      <c r="T105" s="312"/>
      <c r="U105" s="312"/>
      <c r="V105" s="312"/>
      <c r="W105" s="312"/>
      <c r="X105" s="312"/>
      <c r="Y105" s="312"/>
      <c r="Z105" s="312"/>
      <c r="AA105" s="312"/>
      <c r="AB105" s="312"/>
      <c r="AD105" s="313"/>
    </row>
    <row r="106" spans="7:30" x14ac:dyDescent="0.35">
      <c r="G106" s="312"/>
      <c r="H106" s="313"/>
      <c r="I106" s="312"/>
      <c r="J106" s="312"/>
      <c r="K106" s="312"/>
      <c r="L106" s="312"/>
      <c r="M106" s="312"/>
      <c r="O106" s="312"/>
      <c r="P106" s="312"/>
      <c r="Q106" s="312"/>
      <c r="R106" s="312"/>
      <c r="S106" s="312"/>
      <c r="T106" s="312"/>
      <c r="U106" s="312"/>
      <c r="V106" s="312"/>
      <c r="W106" s="312"/>
      <c r="X106" s="312"/>
      <c r="Y106" s="312"/>
      <c r="Z106" s="312"/>
      <c r="AA106" s="312"/>
      <c r="AB106" s="312"/>
      <c r="AD106" s="313"/>
    </row>
    <row r="107" spans="7:30" x14ac:dyDescent="0.35">
      <c r="G107" s="312"/>
      <c r="H107" s="313"/>
      <c r="I107" s="312"/>
      <c r="J107" s="312"/>
      <c r="K107" s="312"/>
      <c r="L107" s="312"/>
      <c r="M107" s="312"/>
      <c r="O107" s="312"/>
      <c r="P107" s="312"/>
      <c r="Q107" s="312"/>
      <c r="R107" s="312"/>
      <c r="S107" s="312"/>
      <c r="T107" s="312"/>
      <c r="U107" s="312"/>
      <c r="V107" s="312"/>
      <c r="W107" s="312"/>
      <c r="X107" s="312"/>
      <c r="Y107" s="312"/>
      <c r="Z107" s="312"/>
      <c r="AA107" s="312"/>
      <c r="AB107" s="312"/>
      <c r="AD107" s="313"/>
    </row>
    <row r="108" spans="7:30" x14ac:dyDescent="0.35">
      <c r="G108" s="312"/>
      <c r="H108" s="313"/>
      <c r="I108" s="312"/>
      <c r="J108" s="312"/>
      <c r="K108" s="312"/>
      <c r="L108" s="312"/>
      <c r="M108" s="312"/>
      <c r="O108" s="312"/>
      <c r="P108" s="312"/>
      <c r="Q108" s="312"/>
      <c r="R108" s="312"/>
      <c r="S108" s="312"/>
      <c r="T108" s="312"/>
      <c r="U108" s="312"/>
      <c r="V108" s="312"/>
      <c r="W108" s="312"/>
      <c r="X108" s="312"/>
      <c r="Y108" s="312"/>
      <c r="Z108" s="312"/>
      <c r="AA108" s="312"/>
      <c r="AB108" s="312"/>
      <c r="AD108" s="313"/>
    </row>
    <row r="109" spans="7:30" x14ac:dyDescent="0.35">
      <c r="G109" s="312"/>
      <c r="H109" s="313"/>
      <c r="I109" s="312"/>
      <c r="J109" s="312"/>
      <c r="K109" s="312"/>
      <c r="L109" s="312"/>
      <c r="M109" s="312"/>
      <c r="O109" s="312"/>
      <c r="P109" s="312"/>
      <c r="Q109" s="312"/>
      <c r="R109" s="312"/>
      <c r="S109" s="312"/>
      <c r="T109" s="312"/>
      <c r="U109" s="312"/>
      <c r="V109" s="312"/>
      <c r="W109" s="312"/>
      <c r="X109" s="312"/>
      <c r="Y109" s="312"/>
      <c r="Z109" s="312"/>
      <c r="AA109" s="312"/>
      <c r="AB109" s="312"/>
      <c r="AD109" s="313"/>
    </row>
    <row r="110" spans="7:30" x14ac:dyDescent="0.35">
      <c r="G110" s="312"/>
      <c r="H110" s="313"/>
      <c r="I110" s="312"/>
      <c r="J110" s="312"/>
      <c r="K110" s="312"/>
      <c r="L110" s="312"/>
      <c r="M110" s="312"/>
      <c r="O110" s="312"/>
      <c r="P110" s="312"/>
      <c r="Q110" s="312"/>
      <c r="R110" s="312"/>
      <c r="S110" s="312"/>
      <c r="T110" s="312"/>
      <c r="U110" s="312"/>
      <c r="V110" s="312"/>
      <c r="W110" s="312"/>
      <c r="X110" s="312"/>
      <c r="Y110" s="312"/>
      <c r="Z110" s="312"/>
      <c r="AA110" s="312"/>
      <c r="AB110" s="312"/>
      <c r="AD110" s="313"/>
    </row>
    <row r="111" spans="7:30" x14ac:dyDescent="0.35">
      <c r="G111" s="312"/>
      <c r="H111" s="313"/>
      <c r="I111" s="312"/>
      <c r="J111" s="312"/>
      <c r="K111" s="312"/>
      <c r="L111" s="312"/>
      <c r="M111" s="312"/>
      <c r="O111" s="312"/>
      <c r="P111" s="312"/>
      <c r="Q111" s="312"/>
      <c r="R111" s="312"/>
      <c r="S111" s="312"/>
      <c r="T111" s="312"/>
      <c r="U111" s="312"/>
      <c r="V111" s="312"/>
      <c r="W111" s="312"/>
      <c r="X111" s="312"/>
      <c r="Y111" s="312"/>
      <c r="Z111" s="312"/>
      <c r="AA111" s="312"/>
      <c r="AB111" s="312"/>
      <c r="AD111" s="313"/>
    </row>
    <row r="112" spans="7:30" x14ac:dyDescent="0.35">
      <c r="G112" s="312"/>
      <c r="H112" s="313"/>
      <c r="I112" s="312"/>
      <c r="J112" s="312"/>
      <c r="K112" s="312"/>
      <c r="L112" s="312"/>
      <c r="M112" s="312"/>
      <c r="O112" s="312"/>
      <c r="P112" s="312"/>
      <c r="Q112" s="312"/>
      <c r="R112" s="312"/>
      <c r="S112" s="312"/>
      <c r="T112" s="312"/>
      <c r="U112" s="312"/>
      <c r="V112" s="312"/>
      <c r="W112" s="312"/>
      <c r="X112" s="312"/>
      <c r="Y112" s="312"/>
      <c r="Z112" s="312"/>
      <c r="AA112" s="312"/>
      <c r="AB112" s="312"/>
      <c r="AD112" s="313"/>
    </row>
    <row r="113" spans="7:30" x14ac:dyDescent="0.35">
      <c r="G113" s="312"/>
      <c r="H113" s="313"/>
      <c r="I113" s="312"/>
      <c r="J113" s="312"/>
      <c r="K113" s="312"/>
      <c r="L113" s="312"/>
      <c r="M113" s="312"/>
      <c r="O113" s="312"/>
      <c r="P113" s="312"/>
      <c r="Q113" s="312"/>
      <c r="R113" s="312"/>
      <c r="S113" s="312"/>
      <c r="T113" s="312"/>
      <c r="U113" s="312"/>
      <c r="V113" s="312"/>
      <c r="W113" s="312"/>
      <c r="X113" s="312"/>
      <c r="Y113" s="312"/>
      <c r="Z113" s="312"/>
      <c r="AA113" s="312"/>
      <c r="AB113" s="312"/>
      <c r="AD113" s="313"/>
    </row>
    <row r="114" spans="7:30" x14ac:dyDescent="0.35">
      <c r="G114" s="312"/>
      <c r="H114" s="313"/>
      <c r="I114" s="312"/>
      <c r="J114" s="312"/>
      <c r="K114" s="312"/>
      <c r="L114" s="312"/>
      <c r="M114" s="312"/>
      <c r="O114" s="312"/>
      <c r="P114" s="312"/>
      <c r="Q114" s="312"/>
      <c r="R114" s="312"/>
      <c r="S114" s="312"/>
      <c r="T114" s="312"/>
      <c r="U114" s="312"/>
      <c r="V114" s="312"/>
      <c r="W114" s="312"/>
      <c r="X114" s="312"/>
      <c r="Y114" s="312"/>
      <c r="Z114" s="312"/>
      <c r="AA114" s="312"/>
      <c r="AB114" s="312"/>
      <c r="AD114" s="313"/>
    </row>
    <row r="115" spans="7:30" x14ac:dyDescent="0.35">
      <c r="G115" s="312"/>
      <c r="H115" s="313"/>
      <c r="I115" s="312"/>
      <c r="J115" s="312"/>
      <c r="K115" s="312"/>
      <c r="L115" s="312"/>
      <c r="M115" s="312"/>
      <c r="O115" s="312"/>
      <c r="P115" s="312"/>
      <c r="Q115" s="312"/>
      <c r="R115" s="312"/>
      <c r="S115" s="312"/>
      <c r="T115" s="312"/>
      <c r="U115" s="312"/>
      <c r="V115" s="312"/>
      <c r="W115" s="312"/>
      <c r="X115" s="312"/>
      <c r="Y115" s="312"/>
      <c r="Z115" s="312"/>
      <c r="AA115" s="312"/>
      <c r="AB115" s="312"/>
      <c r="AD115" s="313"/>
    </row>
    <row r="116" spans="7:30" x14ac:dyDescent="0.35">
      <c r="G116" s="312"/>
      <c r="H116" s="313"/>
      <c r="I116" s="312"/>
      <c r="J116" s="312"/>
      <c r="K116" s="312"/>
      <c r="L116" s="312"/>
      <c r="M116" s="312"/>
      <c r="O116" s="312"/>
      <c r="P116" s="312"/>
      <c r="Q116" s="312"/>
      <c r="R116" s="312"/>
      <c r="S116" s="312"/>
      <c r="T116" s="312"/>
      <c r="U116" s="312"/>
      <c r="V116" s="312"/>
      <c r="W116" s="312"/>
      <c r="X116" s="312"/>
      <c r="Y116" s="312"/>
      <c r="Z116" s="312"/>
      <c r="AA116" s="312"/>
      <c r="AB116" s="312"/>
      <c r="AD116" s="313"/>
    </row>
    <row r="117" spans="7:30" x14ac:dyDescent="0.35">
      <c r="G117" s="312"/>
      <c r="H117" s="313"/>
      <c r="I117" s="312"/>
      <c r="J117" s="312"/>
      <c r="K117" s="312"/>
      <c r="L117" s="312"/>
      <c r="M117" s="312"/>
      <c r="O117" s="312"/>
      <c r="P117" s="312"/>
      <c r="Q117" s="312"/>
      <c r="R117" s="312"/>
      <c r="S117" s="312"/>
      <c r="T117" s="312"/>
      <c r="U117" s="312"/>
      <c r="V117" s="312"/>
      <c r="W117" s="312"/>
      <c r="X117" s="312"/>
      <c r="Y117" s="312"/>
      <c r="Z117" s="312"/>
      <c r="AA117" s="312"/>
      <c r="AB117" s="312"/>
      <c r="AD117" s="313"/>
    </row>
    <row r="118" spans="7:30" x14ac:dyDescent="0.35">
      <c r="G118" s="312"/>
      <c r="H118" s="313"/>
      <c r="I118" s="312"/>
      <c r="J118" s="312"/>
      <c r="K118" s="312"/>
      <c r="L118" s="312"/>
      <c r="M118" s="312"/>
      <c r="O118" s="312"/>
      <c r="P118" s="312"/>
      <c r="Q118" s="312"/>
      <c r="R118" s="312"/>
      <c r="S118" s="312"/>
      <c r="T118" s="312"/>
      <c r="U118" s="312"/>
      <c r="V118" s="312"/>
      <c r="W118" s="312"/>
      <c r="X118" s="312"/>
      <c r="Y118" s="312"/>
      <c r="Z118" s="312"/>
      <c r="AA118" s="312"/>
      <c r="AB118" s="312"/>
      <c r="AD118" s="313"/>
    </row>
    <row r="119" spans="7:30" x14ac:dyDescent="0.35">
      <c r="G119" s="312"/>
      <c r="H119" s="313"/>
      <c r="I119" s="312"/>
      <c r="J119" s="312"/>
      <c r="K119" s="312"/>
      <c r="L119" s="312"/>
      <c r="M119" s="312"/>
      <c r="O119" s="312"/>
      <c r="P119" s="312"/>
      <c r="Q119" s="312"/>
      <c r="R119" s="312"/>
      <c r="S119" s="312"/>
      <c r="T119" s="312"/>
      <c r="U119" s="312"/>
      <c r="V119" s="312"/>
      <c r="W119" s="312"/>
      <c r="X119" s="312"/>
      <c r="Y119" s="312"/>
      <c r="Z119" s="312"/>
      <c r="AA119" s="312"/>
      <c r="AB119" s="312"/>
      <c r="AD119" s="313"/>
    </row>
    <row r="120" spans="7:30" x14ac:dyDescent="0.35">
      <c r="G120" s="312"/>
      <c r="H120" s="313"/>
      <c r="I120" s="312"/>
      <c r="J120" s="312"/>
      <c r="K120" s="312"/>
      <c r="L120" s="312"/>
      <c r="M120" s="312"/>
      <c r="O120" s="312"/>
      <c r="P120" s="312"/>
      <c r="Q120" s="312"/>
      <c r="R120" s="312"/>
      <c r="S120" s="312"/>
      <c r="T120" s="312"/>
      <c r="U120" s="312"/>
      <c r="V120" s="312"/>
      <c r="W120" s="312"/>
      <c r="X120" s="312"/>
      <c r="Y120" s="312"/>
      <c r="Z120" s="312"/>
      <c r="AA120" s="312"/>
      <c r="AB120" s="312"/>
      <c r="AD120" s="313"/>
    </row>
    <row r="121" spans="7:30" x14ac:dyDescent="0.35">
      <c r="G121" s="312"/>
      <c r="H121" s="313"/>
      <c r="I121" s="312"/>
      <c r="J121" s="312"/>
      <c r="K121" s="312"/>
      <c r="L121" s="312"/>
      <c r="M121" s="312"/>
      <c r="O121" s="312"/>
      <c r="P121" s="312"/>
      <c r="Q121" s="312"/>
      <c r="R121" s="312"/>
      <c r="S121" s="312"/>
      <c r="T121" s="312"/>
      <c r="U121" s="312"/>
      <c r="V121" s="312"/>
      <c r="W121" s="312"/>
      <c r="X121" s="312"/>
      <c r="Y121" s="312"/>
      <c r="Z121" s="312"/>
      <c r="AA121" s="312"/>
      <c r="AB121" s="312"/>
      <c r="AD121" s="313"/>
    </row>
    <row r="122" spans="7:30" x14ac:dyDescent="0.35">
      <c r="G122" s="312"/>
      <c r="H122" s="313"/>
      <c r="I122" s="312"/>
      <c r="J122" s="312"/>
      <c r="K122" s="312"/>
      <c r="L122" s="312"/>
      <c r="M122" s="312"/>
      <c r="O122" s="312"/>
      <c r="P122" s="312"/>
      <c r="Q122" s="312"/>
      <c r="R122" s="312"/>
      <c r="S122" s="312"/>
      <c r="T122" s="312"/>
      <c r="U122" s="312"/>
      <c r="V122" s="312"/>
      <c r="W122" s="312"/>
      <c r="X122" s="312"/>
      <c r="Y122" s="312"/>
      <c r="Z122" s="312"/>
      <c r="AA122" s="312"/>
      <c r="AB122" s="312"/>
      <c r="AD122" s="313"/>
    </row>
    <row r="123" spans="7:30" x14ac:dyDescent="0.35">
      <c r="G123" s="312"/>
      <c r="H123" s="313"/>
      <c r="I123" s="312"/>
      <c r="J123" s="312"/>
      <c r="K123" s="312"/>
      <c r="L123" s="312"/>
      <c r="M123" s="312"/>
      <c r="O123" s="312"/>
      <c r="P123" s="312"/>
      <c r="Q123" s="312"/>
      <c r="R123" s="312"/>
      <c r="S123" s="312"/>
      <c r="T123" s="312"/>
      <c r="U123" s="312"/>
      <c r="V123" s="312"/>
      <c r="W123" s="312"/>
      <c r="X123" s="312"/>
      <c r="Y123" s="312"/>
      <c r="Z123" s="312"/>
      <c r="AA123" s="312"/>
      <c r="AB123" s="312"/>
      <c r="AD123" s="313"/>
    </row>
    <row r="124" spans="7:30" x14ac:dyDescent="0.35">
      <c r="G124" s="312"/>
      <c r="H124" s="313"/>
      <c r="I124" s="312"/>
      <c r="J124" s="312"/>
      <c r="K124" s="312"/>
      <c r="L124" s="312"/>
      <c r="M124" s="312"/>
      <c r="O124" s="312"/>
      <c r="P124" s="312"/>
      <c r="Q124" s="312"/>
      <c r="R124" s="312"/>
      <c r="S124" s="312"/>
      <c r="T124" s="312"/>
      <c r="U124" s="312"/>
      <c r="V124" s="312"/>
      <c r="W124" s="312"/>
      <c r="X124" s="312"/>
      <c r="Y124" s="312"/>
      <c r="Z124" s="312"/>
      <c r="AA124" s="312"/>
      <c r="AB124" s="312"/>
      <c r="AD124" s="313"/>
    </row>
    <row r="125" spans="7:30" x14ac:dyDescent="0.35">
      <c r="G125" s="312"/>
      <c r="H125" s="313"/>
      <c r="I125" s="312"/>
      <c r="J125" s="312"/>
      <c r="K125" s="312"/>
      <c r="L125" s="312"/>
      <c r="M125" s="312"/>
      <c r="O125" s="312"/>
      <c r="P125" s="312"/>
      <c r="Q125" s="312"/>
      <c r="R125" s="312"/>
      <c r="S125" s="312"/>
      <c r="T125" s="312"/>
      <c r="U125" s="312"/>
      <c r="V125" s="312"/>
      <c r="W125" s="312"/>
      <c r="X125" s="312"/>
      <c r="Y125" s="312"/>
      <c r="Z125" s="312"/>
      <c r="AA125" s="312"/>
      <c r="AB125" s="312"/>
      <c r="AD125" s="313"/>
    </row>
    <row r="126" spans="7:30" x14ac:dyDescent="0.35">
      <c r="G126" s="312"/>
      <c r="H126" s="313"/>
      <c r="I126" s="312"/>
      <c r="J126" s="312"/>
      <c r="K126" s="312"/>
      <c r="L126" s="312"/>
      <c r="M126" s="312"/>
      <c r="O126" s="312"/>
      <c r="P126" s="312"/>
      <c r="Q126" s="312"/>
      <c r="R126" s="312"/>
      <c r="S126" s="312"/>
      <c r="T126" s="312"/>
      <c r="U126" s="312"/>
      <c r="V126" s="312"/>
      <c r="W126" s="312"/>
      <c r="X126" s="312"/>
      <c r="Y126" s="312"/>
      <c r="Z126" s="312"/>
      <c r="AA126" s="312"/>
      <c r="AB126" s="312"/>
      <c r="AD126" s="313"/>
    </row>
    <row r="127" spans="7:30" x14ac:dyDescent="0.35">
      <c r="G127" s="312"/>
      <c r="H127" s="313"/>
      <c r="I127" s="312"/>
      <c r="J127" s="312"/>
      <c r="K127" s="312"/>
      <c r="L127" s="312"/>
      <c r="M127" s="312"/>
      <c r="O127" s="312"/>
      <c r="P127" s="312"/>
      <c r="Q127" s="312"/>
      <c r="R127" s="312"/>
      <c r="S127" s="312"/>
      <c r="T127" s="312"/>
      <c r="U127" s="312"/>
      <c r="V127" s="312"/>
      <c r="W127" s="312"/>
      <c r="X127" s="312"/>
      <c r="Y127" s="312"/>
      <c r="Z127" s="312"/>
      <c r="AA127" s="312"/>
      <c r="AB127" s="312"/>
      <c r="AD127" s="313"/>
    </row>
  </sheetData>
  <mergeCells count="15">
    <mergeCell ref="G70:H70"/>
    <mergeCell ref="I70:J70"/>
    <mergeCell ref="AG3:AG4"/>
    <mergeCell ref="AE3:AE4"/>
    <mergeCell ref="AF3:AF4"/>
    <mergeCell ref="AI3:AI4"/>
    <mergeCell ref="AI6:AI7"/>
    <mergeCell ref="D3:D4"/>
    <mergeCell ref="G69:H69"/>
    <mergeCell ref="I69:J69"/>
    <mergeCell ref="G55:H55"/>
    <mergeCell ref="I55:J55"/>
    <mergeCell ref="E3:E4"/>
    <mergeCell ref="AH3:AH4"/>
    <mergeCell ref="AH6:AH7"/>
  </mergeCells>
  <conditionalFormatting sqref="D57">
    <cfRule type="cellIs" dxfId="674" priority="334" operator="greaterThan">
      <formula>0</formula>
    </cfRule>
    <cfRule type="cellIs" dxfId="673" priority="333" operator="lessThanOrEqual">
      <formula>0</formula>
    </cfRule>
  </conditionalFormatting>
  <conditionalFormatting sqref="D9:AG9">
    <cfRule type="cellIs" dxfId="672" priority="3" operator="greaterThan">
      <formula>0</formula>
    </cfRule>
    <cfRule type="cellIs" dxfId="671" priority="4" operator="lessThanOrEqual">
      <formula>0</formula>
    </cfRule>
  </conditionalFormatting>
  <conditionalFormatting sqref="D11:AG11">
    <cfRule type="cellIs" dxfId="670" priority="52" operator="greaterThan">
      <formula>0</formula>
    </cfRule>
    <cfRule type="cellIs" dxfId="669" priority="53" operator="lessThanOrEqual">
      <formula>0</formula>
    </cfRule>
  </conditionalFormatting>
  <conditionalFormatting sqref="D14:AG14">
    <cfRule type="cellIs" dxfId="668" priority="73" operator="lessThanOrEqual">
      <formula>0</formula>
    </cfRule>
    <cfRule type="cellIs" dxfId="667" priority="72" operator="greaterThan">
      <formula>0</formula>
    </cfRule>
  </conditionalFormatting>
  <conditionalFormatting sqref="D16:AG16">
    <cfRule type="cellIs" dxfId="666" priority="54" operator="greaterThan">
      <formula>0</formula>
    </cfRule>
    <cfRule type="cellIs" dxfId="665" priority="55" operator="lessThanOrEqual">
      <formula>0</formula>
    </cfRule>
  </conditionalFormatting>
  <conditionalFormatting sqref="D19:AG19">
    <cfRule type="cellIs" dxfId="664" priority="77" operator="lessThanOrEqual">
      <formula>0</formula>
    </cfRule>
    <cfRule type="cellIs" dxfId="663" priority="76" operator="greaterThan">
      <formula>0</formula>
    </cfRule>
  </conditionalFormatting>
  <conditionalFormatting sqref="D21:AG21">
    <cfRule type="cellIs" dxfId="662" priority="56" operator="greaterThan">
      <formula>0</formula>
    </cfRule>
    <cfRule type="cellIs" dxfId="661" priority="57" operator="lessThanOrEqual">
      <formula>0</formula>
    </cfRule>
  </conditionalFormatting>
  <conditionalFormatting sqref="D24:AG24">
    <cfRule type="cellIs" dxfId="660" priority="74" operator="greaterThan">
      <formula>0</formula>
    </cfRule>
    <cfRule type="cellIs" dxfId="659" priority="75" operator="lessThanOrEqual">
      <formula>0</formula>
    </cfRule>
  </conditionalFormatting>
  <conditionalFormatting sqref="D26:AG26">
    <cfRule type="cellIs" dxfId="658" priority="59" operator="lessThanOrEqual">
      <formula>0</formula>
    </cfRule>
    <cfRule type="cellIs" dxfId="657" priority="58" operator="greaterThan">
      <formula>0</formula>
    </cfRule>
  </conditionalFormatting>
  <conditionalFormatting sqref="D29:AG29">
    <cfRule type="cellIs" dxfId="656" priority="79" operator="lessThanOrEqual">
      <formula>0</formula>
    </cfRule>
    <cfRule type="cellIs" dxfId="655" priority="78" operator="greaterThan">
      <formula>0</formula>
    </cfRule>
  </conditionalFormatting>
  <conditionalFormatting sqref="D31:AG31">
    <cfRule type="cellIs" dxfId="654" priority="60" operator="greaterThan">
      <formula>0</formula>
    </cfRule>
    <cfRule type="cellIs" dxfId="653" priority="61" operator="lessThanOrEqual">
      <formula>0</formula>
    </cfRule>
  </conditionalFormatting>
  <conditionalFormatting sqref="D34:AG34">
    <cfRule type="cellIs" dxfId="652" priority="81" operator="lessThanOrEqual">
      <formula>0</formula>
    </cfRule>
    <cfRule type="cellIs" dxfId="651" priority="80" operator="greaterThan">
      <formula>0</formula>
    </cfRule>
  </conditionalFormatting>
  <conditionalFormatting sqref="D36:AG36">
    <cfRule type="cellIs" dxfId="650" priority="62" operator="greaterThan">
      <formula>0</formula>
    </cfRule>
    <cfRule type="cellIs" dxfId="649" priority="63" operator="lessThanOrEqual">
      <formula>0</formula>
    </cfRule>
  </conditionalFormatting>
  <conditionalFormatting sqref="D39:AG39">
    <cfRule type="cellIs" dxfId="648" priority="82" operator="greaterThan">
      <formula>0</formula>
    </cfRule>
    <cfRule type="cellIs" dxfId="647" priority="83" operator="lessThanOrEqual">
      <formula>0</formula>
    </cfRule>
  </conditionalFormatting>
  <conditionalFormatting sqref="D41:AG41">
    <cfRule type="cellIs" dxfId="646" priority="65" operator="lessThanOrEqual">
      <formula>0</formula>
    </cfRule>
    <cfRule type="cellIs" dxfId="645" priority="64" operator="greaterThan">
      <formula>0</formula>
    </cfRule>
  </conditionalFormatting>
  <conditionalFormatting sqref="D44:AG44">
    <cfRule type="cellIs" dxfId="644" priority="85" operator="lessThanOrEqual">
      <formula>0</formula>
    </cfRule>
    <cfRule type="cellIs" dxfId="643" priority="84" operator="greaterThan">
      <formula>0</formula>
    </cfRule>
  </conditionalFormatting>
  <conditionalFormatting sqref="D46:AG46">
    <cfRule type="cellIs" dxfId="642" priority="66" operator="greaterThan">
      <formula>0</formula>
    </cfRule>
    <cfRule type="cellIs" dxfId="641" priority="67" operator="lessThanOrEqual">
      <formula>0</formula>
    </cfRule>
  </conditionalFormatting>
  <conditionalFormatting sqref="D49:AG49">
    <cfRule type="cellIs" dxfId="640" priority="86" operator="greaterThan">
      <formula>0</formula>
    </cfRule>
    <cfRule type="cellIs" dxfId="639" priority="87" operator="lessThanOrEqual">
      <formula>0</formula>
    </cfRule>
  </conditionalFormatting>
  <conditionalFormatting sqref="D51:AI51">
    <cfRule type="cellIs" dxfId="638" priority="27" operator="lessThanOrEqual">
      <formula>0</formula>
    </cfRule>
    <cfRule type="cellIs" dxfId="637" priority="26" operator="greaterThan">
      <formula>0</formula>
    </cfRule>
  </conditionalFormatting>
  <conditionalFormatting sqref="D59:AI59 D63:AI63">
    <cfRule type="cellIs" dxfId="636" priority="47" operator="lessThanOrEqual">
      <formula>0</formula>
    </cfRule>
    <cfRule type="cellIs" dxfId="635" priority="46" operator="greaterThan">
      <formula>0</formula>
    </cfRule>
  </conditionalFormatting>
  <conditionalFormatting sqref="D61:AI61">
    <cfRule type="cellIs" dxfId="634" priority="49" operator="lessThanOrEqual">
      <formula>0</formula>
    </cfRule>
    <cfRule type="cellIs" dxfId="633" priority="48" operator="greaterThan">
      <formula>0</formula>
    </cfRule>
  </conditionalFormatting>
  <conditionalFormatting sqref="E57">
    <cfRule type="cellIs" dxfId="632" priority="2" operator="greaterThanOrEqual">
      <formula>0</formula>
    </cfRule>
    <cfRule type="cellIs" dxfId="631" priority="1" operator="lessThan">
      <formula>0</formula>
    </cfRule>
  </conditionalFormatting>
  <conditionalFormatting sqref="F57:AI57">
    <cfRule type="cellIs" dxfId="630" priority="51" operator="greaterThan">
      <formula>0</formula>
    </cfRule>
    <cfRule type="cellIs" dxfId="629" priority="50" operator="lessThanOrEqual">
      <formula>0</formula>
    </cfRule>
  </conditionalFormatting>
  <conditionalFormatting sqref="G70 I70 K70:M70">
    <cfRule type="cellIs" dxfId="628" priority="261" operator="greaterThan">
      <formula>0</formula>
    </cfRule>
    <cfRule type="cellIs" dxfId="627" priority="262" operator="lessThanOrEqual">
      <formula>0</formula>
    </cfRule>
  </conditionalFormatting>
  <conditionalFormatting sqref="G66:M66">
    <cfRule type="cellIs" dxfId="626" priority="265" operator="greaterThan">
      <formula>0</formula>
    </cfRule>
    <cfRule type="cellIs" dxfId="625" priority="266" operator="lessThanOrEqual">
      <formula>0</formula>
    </cfRule>
  </conditionalFormatting>
  <conditionalFormatting sqref="G68:M68">
    <cfRule type="cellIs" dxfId="624" priority="263" operator="greaterThan">
      <formula>0</formula>
    </cfRule>
    <cfRule type="cellIs" dxfId="623" priority="264" operator="lessThanOrEqual">
      <formula>0</formula>
    </cfRule>
  </conditionalFormatting>
  <conditionalFormatting sqref="K7">
    <cfRule type="cellIs" dxfId="622" priority="112" operator="lessThanOrEqual">
      <formula>0</formula>
    </cfRule>
  </conditionalFormatting>
  <conditionalFormatting sqref="AH6:AI49">
    <cfRule type="cellIs" dxfId="621" priority="8" operator="greaterThanOrEqual">
      <formula>0</formula>
    </cfRule>
    <cfRule type="cellIs" dxfId="620" priority="7" operator="lessThan">
      <formula>0</formula>
    </cfRule>
  </conditionalFormatting>
  <pageMargins left="0.25" right="0.25" top="0.75" bottom="0.75" header="0.3" footer="0.3"/>
  <pageSetup paperSize="8" scale="27" orientation="landscape" r:id="rId1"/>
  <rowBreaks count="1" manualBreakCount="1">
    <brk id="72"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pageSetUpPr autoPageBreaks="0"/>
  </sheetPr>
  <dimension ref="A1:BM118"/>
  <sheetViews>
    <sheetView showGridLines="0" view="pageBreakPreview" zoomScale="60" zoomScaleNormal="60" workbookViewId="0">
      <pane ySplit="4" topLeftCell="A5" activePane="bottomLeft" state="frozen"/>
      <selection pane="bottomLeft" activeCell="B1" sqref="B1:AF1"/>
    </sheetView>
  </sheetViews>
  <sheetFormatPr defaultColWidth="8.90625" defaultRowHeight="16.5" x14ac:dyDescent="0.35"/>
  <cols>
    <col min="1" max="1" width="3.90625" style="758" customWidth="1"/>
    <col min="2" max="2" width="10.90625" style="761" customWidth="1"/>
    <col min="3" max="3" width="45.90625" style="761" customWidth="1"/>
    <col min="4" max="4" width="20.90625" style="761" customWidth="1"/>
    <col min="5" max="5" width="12.90625" style="793" customWidth="1"/>
    <col min="6" max="14" width="7.90625" style="793" customWidth="1"/>
    <col min="15" max="15" width="20.90625" style="793" customWidth="1"/>
    <col min="16" max="16" width="30.90625" style="761" customWidth="1"/>
    <col min="17" max="18" width="20.90625" style="793" customWidth="1"/>
    <col min="19" max="19" width="30.90625" style="761" customWidth="1"/>
    <col min="20" max="20" width="20.90625" style="761" customWidth="1"/>
    <col min="21" max="21" width="20.90625" style="793" customWidth="1"/>
    <col min="22" max="22" width="30.90625" style="793" customWidth="1"/>
    <col min="23" max="24" width="20.90625" style="793" customWidth="1"/>
    <col min="25" max="25" width="30.90625" style="793" customWidth="1"/>
    <col min="26" max="26" width="20.90625" style="761" customWidth="1"/>
    <col min="27" max="28" width="20.90625" style="793" customWidth="1"/>
    <col min="29" max="29" width="30.90625" style="793" customWidth="1"/>
    <col min="30" max="30" width="20.90625" style="761" customWidth="1"/>
    <col min="31" max="31" width="20.90625" style="793" customWidth="1"/>
    <col min="32" max="32" width="30.90625" style="761" customWidth="1"/>
    <col min="33" max="34" width="3.90625" style="758" customWidth="1"/>
    <col min="35" max="35" width="10.90625" style="761" customWidth="1"/>
    <col min="36" max="36" width="45.90625" style="761" customWidth="1"/>
    <col min="37" max="37" width="20.90625" style="761" customWidth="1"/>
    <col min="38" max="38" width="20.90625" style="1071" customWidth="1"/>
    <col min="39" max="57" width="20.90625" style="761" customWidth="1"/>
    <col min="58" max="58" width="20.90625" style="1071" customWidth="1"/>
    <col min="59" max="60" width="20.90625" style="761" customWidth="1"/>
    <col min="61" max="61" width="3.90625" style="761" customWidth="1"/>
    <col min="62" max="62" width="25.90625" style="761" customWidth="1"/>
    <col min="63" max="64" width="50.90625" style="761" customWidth="1"/>
    <col min="65" max="16384" width="8.90625" style="761"/>
  </cols>
  <sheetData>
    <row r="1" spans="1:65" ht="39.9" customHeight="1" x14ac:dyDescent="0.35">
      <c r="A1" s="757"/>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59"/>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59"/>
      <c r="BJ1" s="760"/>
      <c r="BK1" s="760"/>
      <c r="BL1" s="760"/>
      <c r="BM1" s="760"/>
    </row>
    <row r="2" spans="1:65" s="758" customFormat="1" ht="15" customHeight="1" thickBot="1" x14ac:dyDescent="0.4">
      <c r="B2" s="1072" t="s">
        <v>449</v>
      </c>
      <c r="C2" s="1072" t="s">
        <v>450</v>
      </c>
      <c r="D2" s="1072" t="s">
        <v>451</v>
      </c>
      <c r="E2" s="1072" t="s">
        <v>452</v>
      </c>
      <c r="F2" s="1467" t="s">
        <v>453</v>
      </c>
      <c r="G2" s="1468"/>
      <c r="H2" s="1468"/>
      <c r="I2" s="1468"/>
      <c r="J2" s="1468"/>
      <c r="K2" s="1468"/>
      <c r="L2" s="1468"/>
      <c r="M2" s="1468"/>
      <c r="N2" s="1469"/>
      <c r="O2" s="1072" t="s">
        <v>454</v>
      </c>
      <c r="P2" s="1072" t="s">
        <v>455</v>
      </c>
      <c r="Q2" s="1072" t="s">
        <v>456</v>
      </c>
      <c r="R2" s="1072"/>
      <c r="S2" s="1072" t="s">
        <v>457</v>
      </c>
      <c r="T2" s="1072" t="s">
        <v>458</v>
      </c>
      <c r="U2" s="1072" t="s">
        <v>459</v>
      </c>
      <c r="V2" s="1072" t="s">
        <v>460</v>
      </c>
      <c r="W2" s="1072" t="s">
        <v>461</v>
      </c>
      <c r="X2" s="1072" t="s">
        <v>242</v>
      </c>
      <c r="Y2" s="1072" t="s">
        <v>462</v>
      </c>
      <c r="Z2" s="1072" t="s">
        <v>463</v>
      </c>
      <c r="AA2" s="1072" t="s">
        <v>464</v>
      </c>
      <c r="AB2" s="1072" t="s">
        <v>465</v>
      </c>
      <c r="AC2" s="1072" t="s">
        <v>466</v>
      </c>
      <c r="AD2" s="1072" t="s">
        <v>467</v>
      </c>
      <c r="AE2" s="1072" t="s">
        <v>468</v>
      </c>
      <c r="AF2" s="1072" t="s">
        <v>469</v>
      </c>
      <c r="AG2" s="1140"/>
      <c r="AH2" s="1141"/>
      <c r="AI2" s="1072" t="s">
        <v>449</v>
      </c>
      <c r="AJ2" s="1072" t="s">
        <v>450</v>
      </c>
      <c r="AK2" s="1072" t="s">
        <v>471</v>
      </c>
      <c r="AL2" s="1073" t="s">
        <v>472</v>
      </c>
      <c r="AM2" s="1072" t="s">
        <v>473</v>
      </c>
      <c r="AN2" s="1072" t="s">
        <v>474</v>
      </c>
      <c r="AO2" s="1072" t="s">
        <v>475</v>
      </c>
      <c r="AP2" s="1072" t="s">
        <v>476</v>
      </c>
      <c r="AQ2" s="1072" t="s">
        <v>477</v>
      </c>
      <c r="AR2" s="1072" t="s">
        <v>478</v>
      </c>
      <c r="AS2" s="1072" t="s">
        <v>479</v>
      </c>
      <c r="AT2" s="1072" t="s">
        <v>480</v>
      </c>
      <c r="AU2" s="1072" t="s">
        <v>481</v>
      </c>
      <c r="AV2" s="1072" t="s">
        <v>482</v>
      </c>
      <c r="AW2" s="1072" t="s">
        <v>483</v>
      </c>
      <c r="AX2" s="1072" t="s">
        <v>484</v>
      </c>
      <c r="AY2" s="1072" t="s">
        <v>485</v>
      </c>
      <c r="AZ2" s="1072" t="s">
        <v>486</v>
      </c>
      <c r="BA2" s="1072" t="s">
        <v>487</v>
      </c>
      <c r="BB2" s="1072" t="s">
        <v>488</v>
      </c>
      <c r="BC2" s="1072" t="s">
        <v>489</v>
      </c>
      <c r="BD2" s="1072" t="s">
        <v>490</v>
      </c>
      <c r="BE2" s="1072" t="s">
        <v>491</v>
      </c>
      <c r="BF2" s="1073" t="s">
        <v>492</v>
      </c>
      <c r="BG2" s="1072" t="s">
        <v>493</v>
      </c>
      <c r="BH2" s="1072" t="s">
        <v>494</v>
      </c>
    </row>
    <row r="3" spans="1:65" ht="99.9" customHeight="1" thickTop="1" x14ac:dyDescent="0.35">
      <c r="B3" s="1392" t="s">
        <v>2231</v>
      </c>
      <c r="C3" s="768"/>
      <c r="D3" s="1385" t="s">
        <v>495</v>
      </c>
      <c r="E3" s="1394" t="s">
        <v>496</v>
      </c>
      <c r="F3" s="1396" t="s">
        <v>219</v>
      </c>
      <c r="G3" s="1396"/>
      <c r="H3" s="1396"/>
      <c r="I3" s="1396"/>
      <c r="J3" s="1396"/>
      <c r="K3" s="1396"/>
      <c r="L3" s="1396"/>
      <c r="M3" s="1396"/>
      <c r="N3" s="1396"/>
      <c r="O3" s="1385" t="s">
        <v>214</v>
      </c>
      <c r="P3" s="1400" t="s">
        <v>497</v>
      </c>
      <c r="Q3" s="1385" t="s">
        <v>498</v>
      </c>
      <c r="R3" s="1321" t="s">
        <v>2233</v>
      </c>
      <c r="S3" s="1391" t="s">
        <v>499</v>
      </c>
      <c r="T3" s="1388" t="s">
        <v>501</v>
      </c>
      <c r="U3" s="1390" t="s">
        <v>2</v>
      </c>
      <c r="V3" s="1391" t="s">
        <v>500</v>
      </c>
      <c r="W3" s="1552" t="s">
        <v>856</v>
      </c>
      <c r="X3" s="1553" t="s">
        <v>503</v>
      </c>
      <c r="Y3" s="1385" t="s">
        <v>504</v>
      </c>
      <c r="Z3" s="1388" t="s">
        <v>505</v>
      </c>
      <c r="AA3" s="1552" t="s">
        <v>506</v>
      </c>
      <c r="AB3" s="1553" t="s">
        <v>1575</v>
      </c>
      <c r="AC3" s="1385" t="s">
        <v>504</v>
      </c>
      <c r="AD3" s="1388" t="s">
        <v>505</v>
      </c>
      <c r="AE3" s="1494" t="s">
        <v>508</v>
      </c>
      <c r="AF3" s="1490" t="s">
        <v>509</v>
      </c>
      <c r="AI3" s="1389" t="s">
        <v>2231</v>
      </c>
      <c r="AJ3" s="1199"/>
      <c r="AK3" s="775" t="s">
        <v>2234</v>
      </c>
      <c r="AL3" s="773" t="s">
        <v>2235</v>
      </c>
      <c r="AM3" s="773" t="s">
        <v>2236</v>
      </c>
      <c r="AN3" s="773" t="s">
        <v>2237</v>
      </c>
      <c r="AO3" s="773" t="s">
        <v>2238</v>
      </c>
      <c r="AP3" s="773" t="s">
        <v>2239</v>
      </c>
      <c r="AQ3" s="774" t="s">
        <v>2240</v>
      </c>
      <c r="AR3" s="775" t="s">
        <v>2241</v>
      </c>
      <c r="AS3" s="773" t="s">
        <v>2242</v>
      </c>
      <c r="AT3" s="773" t="s">
        <v>2243</v>
      </c>
      <c r="AU3" s="773" t="s">
        <v>2244</v>
      </c>
      <c r="AV3" s="773" t="s">
        <v>2245</v>
      </c>
      <c r="AW3" s="773" t="s">
        <v>2246</v>
      </c>
      <c r="AX3" s="773" t="s">
        <v>2247</v>
      </c>
      <c r="AY3" s="773" t="s">
        <v>2248</v>
      </c>
      <c r="AZ3" s="773" t="s">
        <v>2249</v>
      </c>
      <c r="BA3" s="773" t="s">
        <v>2250</v>
      </c>
      <c r="BB3" s="773" t="s">
        <v>2251</v>
      </c>
      <c r="BC3" s="773" t="s">
        <v>2252</v>
      </c>
      <c r="BD3" s="773" t="s">
        <v>2253</v>
      </c>
      <c r="BE3" s="774" t="s">
        <v>2254</v>
      </c>
      <c r="BF3" s="775" t="s">
        <v>2255</v>
      </c>
      <c r="BG3" s="1398" t="s">
        <v>41</v>
      </c>
      <c r="BH3" s="1382" t="s">
        <v>42</v>
      </c>
      <c r="BI3" s="758"/>
      <c r="BJ3" s="777"/>
      <c r="BK3" s="778"/>
      <c r="BL3" s="778"/>
    </row>
    <row r="4" spans="1:65" s="793" customFormat="1" ht="134.4" customHeight="1" x14ac:dyDescent="0.35">
      <c r="A4" s="880"/>
      <c r="B4" s="1393"/>
      <c r="C4" s="780" t="s">
        <v>1753</v>
      </c>
      <c r="D4" s="1286"/>
      <c r="E4" s="1395"/>
      <c r="F4" s="333" t="s">
        <v>512</v>
      </c>
      <c r="G4" s="333" t="s">
        <v>513</v>
      </c>
      <c r="H4" s="333" t="s">
        <v>514</v>
      </c>
      <c r="I4" s="333" t="s">
        <v>515</v>
      </c>
      <c r="J4" s="333" t="s">
        <v>516</v>
      </c>
      <c r="K4" s="333" t="s">
        <v>517</v>
      </c>
      <c r="L4" s="333" t="s">
        <v>518</v>
      </c>
      <c r="M4" s="333" t="s">
        <v>519</v>
      </c>
      <c r="N4" s="333" t="s">
        <v>520</v>
      </c>
      <c r="O4" s="1397"/>
      <c r="P4" s="1401"/>
      <c r="Q4" s="1286"/>
      <c r="R4" s="1322"/>
      <c r="S4" s="1241"/>
      <c r="T4" s="1288"/>
      <c r="U4" s="1320"/>
      <c r="V4" s="1241"/>
      <c r="W4" s="1529"/>
      <c r="X4" s="1539"/>
      <c r="Y4" s="1286"/>
      <c r="Z4" s="1288"/>
      <c r="AA4" s="1529"/>
      <c r="AB4" s="1539"/>
      <c r="AC4" s="1286"/>
      <c r="AD4" s="1288"/>
      <c r="AE4" s="1249"/>
      <c r="AF4" s="1483"/>
      <c r="AG4" s="880"/>
      <c r="AH4" s="880"/>
      <c r="AI4" s="1299"/>
      <c r="AJ4" s="1200" t="s">
        <v>1753</v>
      </c>
      <c r="AK4" s="790">
        <v>8500</v>
      </c>
      <c r="AL4" s="785">
        <v>1500</v>
      </c>
      <c r="AM4" s="785">
        <v>2600</v>
      </c>
      <c r="AN4" s="786">
        <v>750</v>
      </c>
      <c r="AO4" s="786" t="s">
        <v>48</v>
      </c>
      <c r="AP4" s="785">
        <v>2100</v>
      </c>
      <c r="AQ4" s="787">
        <v>1050</v>
      </c>
      <c r="AR4" s="788">
        <v>550</v>
      </c>
      <c r="AS4" s="786">
        <v>70</v>
      </c>
      <c r="AT4" s="786">
        <v>30</v>
      </c>
      <c r="AU4" s="786">
        <v>35</v>
      </c>
      <c r="AV4" s="786">
        <v>35</v>
      </c>
      <c r="AW4" s="786">
        <v>20</v>
      </c>
      <c r="AX4" s="786">
        <v>16</v>
      </c>
      <c r="AY4" s="786">
        <v>15</v>
      </c>
      <c r="AZ4" s="786">
        <v>13</v>
      </c>
      <c r="BA4" s="786">
        <v>10</v>
      </c>
      <c r="BB4" s="786">
        <v>10</v>
      </c>
      <c r="BC4" s="786">
        <v>10</v>
      </c>
      <c r="BD4" s="786">
        <v>10</v>
      </c>
      <c r="BE4" s="789">
        <v>10</v>
      </c>
      <c r="BF4" s="790">
        <v>2120</v>
      </c>
      <c r="BG4" s="1399"/>
      <c r="BH4" s="1383"/>
      <c r="BI4" s="880"/>
      <c r="BJ4" s="791"/>
      <c r="BK4" s="792"/>
      <c r="BL4" s="792"/>
    </row>
    <row r="5" spans="1:65" ht="17.25" customHeight="1" x14ac:dyDescent="0.35">
      <c r="B5" s="795"/>
      <c r="C5" s="796" t="s">
        <v>521</v>
      </c>
      <c r="D5" s="302"/>
      <c r="E5" s="303"/>
      <c r="F5" s="303"/>
      <c r="G5" s="303"/>
      <c r="H5" s="303"/>
      <c r="I5" s="303"/>
      <c r="J5" s="303"/>
      <c r="K5" s="303"/>
      <c r="L5" s="303"/>
      <c r="M5" s="303"/>
      <c r="N5" s="307"/>
      <c r="O5" s="303"/>
      <c r="P5" s="302"/>
      <c r="Q5" s="305"/>
      <c r="R5" s="305"/>
      <c r="S5" s="306"/>
      <c r="T5" s="804"/>
      <c r="U5" s="305"/>
      <c r="V5" s="305"/>
      <c r="W5" s="506"/>
      <c r="X5" s="584"/>
      <c r="Y5" s="803"/>
      <c r="Z5" s="804"/>
      <c r="AA5" s="1157"/>
      <c r="AB5" s="584"/>
      <c r="AC5" s="803"/>
      <c r="AD5" s="804"/>
      <c r="AE5" s="302"/>
      <c r="AF5" s="1075"/>
      <c r="AI5" s="800"/>
      <c r="AJ5" s="1201" t="s">
        <v>521</v>
      </c>
      <c r="AK5" s="805"/>
      <c r="AL5" s="803"/>
      <c r="AM5" s="803"/>
      <c r="AN5" s="803"/>
      <c r="AO5" s="803"/>
      <c r="AP5" s="803"/>
      <c r="AQ5" s="804"/>
      <c r="AR5" s="805"/>
      <c r="AS5" s="803"/>
      <c r="AT5" s="803"/>
      <c r="AU5" s="803"/>
      <c r="AV5" s="803"/>
      <c r="AW5" s="803"/>
      <c r="AX5" s="803"/>
      <c r="AY5" s="803"/>
      <c r="AZ5" s="803"/>
      <c r="BA5" s="803"/>
      <c r="BB5" s="803"/>
      <c r="BC5" s="305"/>
      <c r="BD5" s="803"/>
      <c r="BE5" s="1157"/>
      <c r="BF5" s="1170"/>
      <c r="BG5" s="305"/>
      <c r="BH5" s="570"/>
      <c r="BI5" s="758"/>
    </row>
    <row r="6" spans="1:65" ht="125.15" customHeight="1" x14ac:dyDescent="0.35">
      <c r="A6" s="1459">
        <v>1</v>
      </c>
      <c r="B6" s="1418" t="s">
        <v>1754</v>
      </c>
      <c r="C6" s="1420" t="s">
        <v>1755</v>
      </c>
      <c r="D6" s="1422"/>
      <c r="E6" s="1374" t="s">
        <v>524</v>
      </c>
      <c r="F6" s="808"/>
      <c r="G6" s="809"/>
      <c r="H6" s="809"/>
      <c r="I6" s="809"/>
      <c r="J6" s="810"/>
      <c r="K6" s="809"/>
      <c r="L6" s="809"/>
      <c r="M6" s="809"/>
      <c r="N6" s="811"/>
      <c r="O6" s="1422" t="s">
        <v>525</v>
      </c>
      <c r="P6" s="1422" t="s">
        <v>526</v>
      </c>
      <c r="Q6" s="324" t="s">
        <v>527</v>
      </c>
      <c r="R6" s="324"/>
      <c r="S6" s="1424" t="s">
        <v>528</v>
      </c>
      <c r="T6" s="551"/>
      <c r="U6" s="324"/>
      <c r="V6" s="1424"/>
      <c r="W6" s="551"/>
      <c r="X6" s="589" t="s">
        <v>527</v>
      </c>
      <c r="Y6" s="324"/>
      <c r="Z6" s="551"/>
      <c r="AA6" s="1202"/>
      <c r="AB6" s="589" t="s">
        <v>527</v>
      </c>
      <c r="AC6" s="324"/>
      <c r="AD6" s="551"/>
      <c r="AE6" s="1424"/>
      <c r="AF6" s="1465"/>
      <c r="AG6" s="1309">
        <v>1</v>
      </c>
      <c r="AH6" s="1275">
        <v>1</v>
      </c>
      <c r="AI6" s="1430" t="s">
        <v>1754</v>
      </c>
      <c r="AJ6" s="1558" t="s">
        <v>1755</v>
      </c>
      <c r="AK6" s="589" t="s">
        <v>527</v>
      </c>
      <c r="AL6" s="569" t="s">
        <v>527</v>
      </c>
      <c r="AM6" s="569" t="s">
        <v>527</v>
      </c>
      <c r="AN6" s="569" t="s">
        <v>527</v>
      </c>
      <c r="AO6" s="569" t="s">
        <v>527</v>
      </c>
      <c r="AP6" s="569" t="s">
        <v>527</v>
      </c>
      <c r="AQ6" s="643" t="s">
        <v>527</v>
      </c>
      <c r="AR6" s="589" t="s">
        <v>527</v>
      </c>
      <c r="AS6" s="569" t="s">
        <v>527</v>
      </c>
      <c r="AT6" s="569" t="s">
        <v>527</v>
      </c>
      <c r="AU6" s="569" t="s">
        <v>527</v>
      </c>
      <c r="AV6" s="569" t="s">
        <v>527</v>
      </c>
      <c r="AW6" s="569" t="s">
        <v>527</v>
      </c>
      <c r="AX6" s="569" t="s">
        <v>527</v>
      </c>
      <c r="AY6" s="569" t="s">
        <v>527</v>
      </c>
      <c r="AZ6" s="569" t="s">
        <v>527</v>
      </c>
      <c r="BA6" s="569" t="s">
        <v>527</v>
      </c>
      <c r="BB6" s="569" t="s">
        <v>527</v>
      </c>
      <c r="BC6" s="569"/>
      <c r="BD6" s="569" t="s">
        <v>527</v>
      </c>
      <c r="BE6" s="643" t="s">
        <v>527</v>
      </c>
      <c r="BF6" s="834" t="s">
        <v>527</v>
      </c>
      <c r="BG6" s="569" t="s">
        <v>527</v>
      </c>
      <c r="BH6" s="1306"/>
      <c r="BI6" s="1432">
        <v>1</v>
      </c>
    </row>
    <row r="7" spans="1:65" ht="125.15" customHeight="1" x14ac:dyDescent="0.35">
      <c r="A7" s="1460"/>
      <c r="B7" s="1419"/>
      <c r="C7" s="1421"/>
      <c r="D7" s="1423"/>
      <c r="E7" s="1373"/>
      <c r="F7" s="1415"/>
      <c r="G7" s="1416"/>
      <c r="H7" s="1416"/>
      <c r="I7" s="1416"/>
      <c r="J7" s="1416"/>
      <c r="K7" s="1416"/>
      <c r="L7" s="1416"/>
      <c r="M7" s="1416"/>
      <c r="N7" s="1417"/>
      <c r="O7" s="1423"/>
      <c r="P7" s="1423"/>
      <c r="Q7" s="456"/>
      <c r="R7" s="456"/>
      <c r="S7" s="1425"/>
      <c r="T7" s="487"/>
      <c r="U7" s="326"/>
      <c r="V7" s="1425"/>
      <c r="W7" s="487"/>
      <c r="X7" s="599"/>
      <c r="Y7" s="456"/>
      <c r="Z7" s="487"/>
      <c r="AA7" s="816"/>
      <c r="AB7" s="599"/>
      <c r="AC7" s="456"/>
      <c r="AD7" s="487"/>
      <c r="AE7" s="1425"/>
      <c r="AF7" s="1466"/>
      <c r="AG7" s="1310"/>
      <c r="AH7" s="1276"/>
      <c r="AI7" s="1431"/>
      <c r="AJ7" s="1559"/>
      <c r="AK7" s="599"/>
      <c r="AL7" s="564"/>
      <c r="AM7" s="564"/>
      <c r="AN7" s="564"/>
      <c r="AO7" s="663"/>
      <c r="AP7" s="663"/>
      <c r="AQ7" s="711"/>
      <c r="AR7" s="585"/>
      <c r="AS7" s="663"/>
      <c r="AT7" s="663"/>
      <c r="AU7" s="663"/>
      <c r="AV7" s="663"/>
      <c r="AW7" s="663"/>
      <c r="AX7" s="663"/>
      <c r="AY7" s="663"/>
      <c r="AZ7" s="663"/>
      <c r="BA7" s="663"/>
      <c r="BB7" s="663"/>
      <c r="BC7" s="663"/>
      <c r="BD7" s="663"/>
      <c r="BE7" s="711"/>
      <c r="BF7" s="1203"/>
      <c r="BG7" s="663"/>
      <c r="BH7" s="1307"/>
      <c r="BI7" s="1433"/>
    </row>
    <row r="8" spans="1:65" ht="17.25" customHeight="1" x14ac:dyDescent="0.35">
      <c r="A8" s="1204"/>
      <c r="B8" s="795"/>
      <c r="C8" s="796" t="s">
        <v>1756</v>
      </c>
      <c r="D8" s="302"/>
      <c r="E8" s="303"/>
      <c r="F8" s="303"/>
      <c r="G8" s="303"/>
      <c r="H8" s="303"/>
      <c r="I8" s="303"/>
      <c r="J8" s="303"/>
      <c r="K8" s="303"/>
      <c r="L8" s="303"/>
      <c r="M8" s="303"/>
      <c r="N8" s="307"/>
      <c r="O8" s="303"/>
      <c r="P8" s="302"/>
      <c r="Q8" s="305"/>
      <c r="R8" s="305"/>
      <c r="S8" s="306"/>
      <c r="T8" s="560"/>
      <c r="U8" s="305"/>
      <c r="V8" s="305"/>
      <c r="W8" s="506"/>
      <c r="X8" s="584"/>
      <c r="Y8" s="307"/>
      <c r="Z8" s="560"/>
      <c r="AA8" s="506"/>
      <c r="AB8" s="584"/>
      <c r="AC8" s="307"/>
      <c r="AD8" s="560"/>
      <c r="AE8" s="305"/>
      <c r="AF8" s="1075"/>
      <c r="AG8" s="1078"/>
      <c r="AH8" s="1079"/>
      <c r="AI8" s="800"/>
      <c r="AJ8" s="1201" t="s">
        <v>1756</v>
      </c>
      <c r="AK8" s="805"/>
      <c r="AL8" s="803"/>
      <c r="AM8" s="804"/>
      <c r="AN8" s="803"/>
      <c r="AO8" s="803"/>
      <c r="AP8" s="803"/>
      <c r="AQ8" s="804"/>
      <c r="AR8" s="805"/>
      <c r="AS8" s="803"/>
      <c r="AT8" s="803"/>
      <c r="AU8" s="803"/>
      <c r="AV8" s="803"/>
      <c r="AW8" s="803"/>
      <c r="AX8" s="803"/>
      <c r="AY8" s="803"/>
      <c r="AZ8" s="803"/>
      <c r="BA8" s="803"/>
      <c r="BB8" s="803"/>
      <c r="BC8" s="803"/>
      <c r="BD8" s="803"/>
      <c r="BE8" s="804"/>
      <c r="BF8" s="805"/>
      <c r="BG8" s="302"/>
      <c r="BH8" s="570"/>
      <c r="BI8" s="1080"/>
      <c r="BJ8" s="823"/>
      <c r="BK8" s="807"/>
      <c r="BL8" s="807"/>
    </row>
    <row r="9" spans="1:65" ht="125.15" customHeight="1" x14ac:dyDescent="0.35">
      <c r="A9" s="1459">
        <v>2</v>
      </c>
      <c r="B9" s="1358" t="s">
        <v>1757</v>
      </c>
      <c r="C9" s="1281" t="s">
        <v>1758</v>
      </c>
      <c r="D9" s="1281" t="s">
        <v>1759</v>
      </c>
      <c r="E9" s="1470"/>
      <c r="F9" s="1081"/>
      <c r="G9" s="826"/>
      <c r="H9" s="826"/>
      <c r="I9" s="826"/>
      <c r="J9" s="827"/>
      <c r="K9" s="826"/>
      <c r="L9" s="826"/>
      <c r="M9" s="826"/>
      <c r="N9" s="828"/>
      <c r="O9" s="1281" t="s">
        <v>1760</v>
      </c>
      <c r="P9" s="1281" t="s">
        <v>1761</v>
      </c>
      <c r="Q9" s="330"/>
      <c r="R9" s="330"/>
      <c r="S9" s="1268" t="s">
        <v>1762</v>
      </c>
      <c r="T9" s="1311" t="s">
        <v>1763</v>
      </c>
      <c r="U9" s="329"/>
      <c r="V9" s="1268"/>
      <c r="W9" s="612"/>
      <c r="X9" s="582" t="s">
        <v>1764</v>
      </c>
      <c r="Y9" s="1268" t="s">
        <v>1765</v>
      </c>
      <c r="Z9" s="1311" t="s">
        <v>1763</v>
      </c>
      <c r="AA9" s="612"/>
      <c r="AB9" s="589" t="s">
        <v>1766</v>
      </c>
      <c r="AC9" s="1268"/>
      <c r="AD9" s="1311"/>
      <c r="AE9" s="327"/>
      <c r="AF9" s="1472" t="s">
        <v>1767</v>
      </c>
      <c r="AG9" s="1309">
        <v>2</v>
      </c>
      <c r="AH9" s="1275">
        <v>2</v>
      </c>
      <c r="AI9" s="1271" t="s">
        <v>1757</v>
      </c>
      <c r="AJ9" s="1480" t="s">
        <v>1758</v>
      </c>
      <c r="AK9" s="1557" t="s">
        <v>1768</v>
      </c>
      <c r="AL9" s="1479"/>
      <c r="AM9" s="1478" t="s">
        <v>1766</v>
      </c>
      <c r="AN9" s="1479"/>
      <c r="AO9" s="493"/>
      <c r="AP9" s="643" t="s">
        <v>1766</v>
      </c>
      <c r="AQ9" s="643" t="s">
        <v>1766</v>
      </c>
      <c r="AR9" s="589" t="s">
        <v>1766</v>
      </c>
      <c r="AS9" s="569" t="s">
        <v>1769</v>
      </c>
      <c r="AT9" s="569" t="s">
        <v>1769</v>
      </c>
      <c r="AU9" s="569" t="s">
        <v>1769</v>
      </c>
      <c r="AV9" s="569" t="s">
        <v>1769</v>
      </c>
      <c r="AW9" s="569" t="s">
        <v>1769</v>
      </c>
      <c r="AX9" s="569" t="s">
        <v>1769</v>
      </c>
      <c r="AY9" s="569" t="s">
        <v>1769</v>
      </c>
      <c r="AZ9" s="569" t="s">
        <v>1769</v>
      </c>
      <c r="BA9" s="569" t="s">
        <v>1769</v>
      </c>
      <c r="BB9" s="569" t="s">
        <v>1769</v>
      </c>
      <c r="BC9" s="569" t="s">
        <v>1769</v>
      </c>
      <c r="BD9" s="569" t="s">
        <v>1769</v>
      </c>
      <c r="BE9" s="643" t="s">
        <v>1769</v>
      </c>
      <c r="BF9" s="589" t="s">
        <v>1770</v>
      </c>
      <c r="BG9" s="643" t="s">
        <v>1770</v>
      </c>
      <c r="BH9" s="815"/>
      <c r="BI9" s="1432">
        <v>2</v>
      </c>
      <c r="BJ9" s="823"/>
      <c r="BK9" s="1316"/>
      <c r="BL9" s="1316"/>
    </row>
    <row r="10" spans="1:65" ht="125.15" customHeight="1" x14ac:dyDescent="0.35">
      <c r="A10" s="1460"/>
      <c r="B10" s="1359"/>
      <c r="C10" s="1282"/>
      <c r="D10" s="1282"/>
      <c r="E10" s="1471"/>
      <c r="F10" s="1313" t="s">
        <v>1593</v>
      </c>
      <c r="G10" s="1314"/>
      <c r="H10" s="1314"/>
      <c r="I10" s="1314"/>
      <c r="J10" s="1314"/>
      <c r="K10" s="1314"/>
      <c r="L10" s="1314"/>
      <c r="M10" s="1314"/>
      <c r="N10" s="1315"/>
      <c r="O10" s="1282"/>
      <c r="P10" s="1282"/>
      <c r="Q10" s="456">
        <f>11015680+10016000+2200000</f>
        <v>23231680</v>
      </c>
      <c r="R10" s="456">
        <v>28773878</v>
      </c>
      <c r="S10" s="1270"/>
      <c r="T10" s="1312"/>
      <c r="U10" s="334"/>
      <c r="V10" s="1270"/>
      <c r="W10" s="613">
        <f>Q10-U10</f>
        <v>23231680</v>
      </c>
      <c r="X10" s="599">
        <f>11015680+10016000</f>
        <v>21031680</v>
      </c>
      <c r="Y10" s="1270"/>
      <c r="Z10" s="1312"/>
      <c r="AA10" s="613">
        <f>W10-X10</f>
        <v>2200000</v>
      </c>
      <c r="AB10" s="585"/>
      <c r="AC10" s="1270"/>
      <c r="AD10" s="1312"/>
      <c r="AE10" s="486">
        <f>AA10-(SUM(BF10:BH10))</f>
        <v>2200000</v>
      </c>
      <c r="AF10" s="1473"/>
      <c r="AG10" s="1310"/>
      <c r="AH10" s="1276"/>
      <c r="AI10" s="1272"/>
      <c r="AJ10" s="1481"/>
      <c r="AK10" s="599">
        <f>11015680*AK4/(AK4+AL4)</f>
        <v>9363328</v>
      </c>
      <c r="AL10" s="564">
        <f>11015680*AL4/(AK4+AL4)</f>
        <v>1652352</v>
      </c>
      <c r="AM10" s="697">
        <f>10016000*AM4/(AM4+AN4+AP4+AQ4+AR4)</f>
        <v>3693843.9716312056</v>
      </c>
      <c r="AN10" s="697">
        <f>10016000*AN4/(AM4+AN4+AP4+AQ4+AR4)</f>
        <v>1065531.9148936169</v>
      </c>
      <c r="AO10" s="477"/>
      <c r="AP10" s="697">
        <f>10016000*AP4/(AM4+AN4+AP4+AQ4+AR4)</f>
        <v>2983489.3617021278</v>
      </c>
      <c r="AQ10" s="697">
        <f>10016000*AQ4/(AM4+AN4+AP4+AQ4+AR4)</f>
        <v>1491744.6808510639</v>
      </c>
      <c r="AR10" s="599">
        <f>10016000*AR4/(AM4+AN4+AP4+AQ4+AR4)</f>
        <v>781390.07092198578</v>
      </c>
      <c r="AS10" s="663"/>
      <c r="AT10" s="663"/>
      <c r="AU10" s="663"/>
      <c r="AV10" s="663"/>
      <c r="AW10" s="663"/>
      <c r="AX10" s="663"/>
      <c r="AY10" s="663"/>
      <c r="AZ10" s="663"/>
      <c r="BA10" s="663"/>
      <c r="BB10" s="663"/>
      <c r="BC10" s="663"/>
      <c r="BD10" s="663"/>
      <c r="BE10" s="711"/>
      <c r="BF10" s="585"/>
      <c r="BG10" s="663"/>
      <c r="BH10" s="817"/>
      <c r="BI10" s="1433"/>
      <c r="BJ10" s="823"/>
      <c r="BK10" s="1317"/>
      <c r="BL10" s="1317"/>
    </row>
    <row r="11" spans="1:65" ht="125.15" customHeight="1" x14ac:dyDescent="0.35">
      <c r="A11" s="1459">
        <v>3</v>
      </c>
      <c r="B11" s="1358" t="s">
        <v>2302</v>
      </c>
      <c r="C11" s="1281" t="s">
        <v>1771</v>
      </c>
      <c r="D11" s="1281" t="s">
        <v>1759</v>
      </c>
      <c r="E11" s="1470"/>
      <c r="F11" s="1081"/>
      <c r="G11" s="826"/>
      <c r="H11" s="826"/>
      <c r="I11" s="826"/>
      <c r="J11" s="827"/>
      <c r="K11" s="826"/>
      <c r="L11" s="826"/>
      <c r="M11" s="826"/>
      <c r="N11" s="828"/>
      <c r="O11" s="1281" t="s">
        <v>1760</v>
      </c>
      <c r="P11" s="1281" t="s">
        <v>1772</v>
      </c>
      <c r="Q11" s="330"/>
      <c r="R11" s="330" t="s">
        <v>2186</v>
      </c>
      <c r="S11" s="1268" t="s">
        <v>2303</v>
      </c>
      <c r="T11" s="1311" t="s">
        <v>1763</v>
      </c>
      <c r="U11" s="329"/>
      <c r="V11" s="1268"/>
      <c r="W11" s="612"/>
      <c r="X11" s="582" t="s">
        <v>1773</v>
      </c>
      <c r="Y11" s="1268" t="s">
        <v>1774</v>
      </c>
      <c r="Z11" s="1311" t="s">
        <v>1763</v>
      </c>
      <c r="AA11" s="612"/>
      <c r="AB11" s="589" t="s">
        <v>1773</v>
      </c>
      <c r="AC11" s="1268"/>
      <c r="AD11" s="1311"/>
      <c r="AE11" s="327"/>
      <c r="AF11" s="1472" t="s">
        <v>1775</v>
      </c>
      <c r="AG11" s="1309">
        <v>3</v>
      </c>
      <c r="AH11" s="1275">
        <v>3</v>
      </c>
      <c r="AI11" s="1271" t="s">
        <v>2302</v>
      </c>
      <c r="AJ11" s="1480" t="s">
        <v>1771</v>
      </c>
      <c r="AK11" s="582" t="s">
        <v>1773</v>
      </c>
      <c r="AL11" s="563" t="s">
        <v>1773</v>
      </c>
      <c r="AM11" s="563" t="s">
        <v>1773</v>
      </c>
      <c r="AN11" s="563" t="s">
        <v>1773</v>
      </c>
      <c r="AO11" s="493"/>
      <c r="AP11" s="563" t="s">
        <v>1773</v>
      </c>
      <c r="AQ11" s="698" t="s">
        <v>1773</v>
      </c>
      <c r="AR11" s="582" t="s">
        <v>1773</v>
      </c>
      <c r="AS11" s="569" t="s">
        <v>1769</v>
      </c>
      <c r="AT11" s="569" t="s">
        <v>1769</v>
      </c>
      <c r="AU11" s="569" t="s">
        <v>1769</v>
      </c>
      <c r="AV11" s="569" t="s">
        <v>1769</v>
      </c>
      <c r="AW11" s="569" t="s">
        <v>1769</v>
      </c>
      <c r="AX11" s="569" t="s">
        <v>1769</v>
      </c>
      <c r="AY11" s="569" t="s">
        <v>1769</v>
      </c>
      <c r="AZ11" s="569" t="s">
        <v>1769</v>
      </c>
      <c r="BA11" s="569" t="s">
        <v>1769</v>
      </c>
      <c r="BB11" s="569" t="s">
        <v>1769</v>
      </c>
      <c r="BC11" s="569" t="s">
        <v>1769</v>
      </c>
      <c r="BD11" s="569" t="s">
        <v>1769</v>
      </c>
      <c r="BE11" s="643" t="s">
        <v>1769</v>
      </c>
      <c r="BF11" s="582" t="s">
        <v>1769</v>
      </c>
      <c r="BG11" s="563" t="s">
        <v>1769</v>
      </c>
      <c r="BH11" s="815"/>
      <c r="BI11" s="1432">
        <v>3</v>
      </c>
      <c r="BJ11" s="823"/>
      <c r="BK11" s="1316"/>
      <c r="BL11" s="1316"/>
    </row>
    <row r="12" spans="1:65" ht="161.25" customHeight="1" x14ac:dyDescent="0.35">
      <c r="A12" s="1460"/>
      <c r="B12" s="1359"/>
      <c r="C12" s="1282"/>
      <c r="D12" s="1282"/>
      <c r="E12" s="1471"/>
      <c r="F12" s="1313" t="s">
        <v>1593</v>
      </c>
      <c r="G12" s="1314"/>
      <c r="H12" s="1314"/>
      <c r="I12" s="1314"/>
      <c r="J12" s="1314"/>
      <c r="K12" s="1314"/>
      <c r="L12" s="1314"/>
      <c r="M12" s="1314"/>
      <c r="N12" s="1315"/>
      <c r="O12" s="1282"/>
      <c r="P12" s="1282"/>
      <c r="Q12" s="456">
        <f>2200000+994000+91500+111000+2080000+102647</f>
        <v>5579147</v>
      </c>
      <c r="R12" s="456"/>
      <c r="S12" s="1270"/>
      <c r="T12" s="1312"/>
      <c r="U12" s="334"/>
      <c r="V12" s="1270"/>
      <c r="W12" s="613">
        <f>Q12-U12</f>
        <v>5579147</v>
      </c>
      <c r="X12" s="585"/>
      <c r="Y12" s="1270"/>
      <c r="Z12" s="1312"/>
      <c r="AA12" s="613">
        <f>W12</f>
        <v>5579147</v>
      </c>
      <c r="AB12" s="585"/>
      <c r="AC12" s="1270"/>
      <c r="AD12" s="1312"/>
      <c r="AE12" s="486">
        <f>AA12</f>
        <v>5579147</v>
      </c>
      <c r="AF12" s="1473"/>
      <c r="AG12" s="1310"/>
      <c r="AH12" s="1276"/>
      <c r="AI12" s="1272"/>
      <c r="AJ12" s="1481"/>
      <c r="AK12" s="599">
        <v>1776500</v>
      </c>
      <c r="AL12" s="564">
        <v>316147</v>
      </c>
      <c r="AM12" s="663"/>
      <c r="AN12" s="663"/>
      <c r="AO12" s="477"/>
      <c r="AP12" s="663"/>
      <c r="AQ12" s="711"/>
      <c r="AR12" s="585"/>
      <c r="AS12" s="663"/>
      <c r="AT12" s="663"/>
      <c r="AU12" s="663"/>
      <c r="AV12" s="663"/>
      <c r="AW12" s="663"/>
      <c r="AX12" s="663"/>
      <c r="AY12" s="663"/>
      <c r="AZ12" s="663"/>
      <c r="BA12" s="663"/>
      <c r="BB12" s="663"/>
      <c r="BC12" s="663"/>
      <c r="BD12" s="663"/>
      <c r="BE12" s="711"/>
      <c r="BF12" s="585"/>
      <c r="BG12" s="663"/>
      <c r="BH12" s="817"/>
      <c r="BI12" s="1433"/>
      <c r="BJ12" s="823"/>
      <c r="BK12" s="1317"/>
      <c r="BL12" s="1317"/>
    </row>
    <row r="13" spans="1:65" ht="17.25" customHeight="1" x14ac:dyDescent="0.35">
      <c r="A13" s="1204"/>
      <c r="B13" s="795"/>
      <c r="C13" s="796" t="s">
        <v>1776</v>
      </c>
      <c r="D13" s="302"/>
      <c r="E13" s="303"/>
      <c r="F13" s="303"/>
      <c r="G13" s="303"/>
      <c r="H13" s="303"/>
      <c r="I13" s="303"/>
      <c r="J13" s="303"/>
      <c r="K13" s="303"/>
      <c r="L13" s="303"/>
      <c r="M13" s="303"/>
      <c r="N13" s="307"/>
      <c r="O13" s="303"/>
      <c r="P13" s="302"/>
      <c r="Q13" s="305"/>
      <c r="R13" s="305"/>
      <c r="S13" s="306"/>
      <c r="T13" s="560"/>
      <c r="U13" s="305"/>
      <c r="V13" s="305"/>
      <c r="W13" s="506"/>
      <c r="X13" s="584"/>
      <c r="Y13" s="307"/>
      <c r="Z13" s="560"/>
      <c r="AA13" s="506"/>
      <c r="AB13" s="584"/>
      <c r="AC13" s="307"/>
      <c r="AD13" s="560"/>
      <c r="AE13" s="305"/>
      <c r="AF13" s="1075"/>
      <c r="AG13" s="1078"/>
      <c r="AH13" s="1079"/>
      <c r="AI13" s="800"/>
      <c r="AJ13" s="1201" t="s">
        <v>1776</v>
      </c>
      <c r="AK13" s="805"/>
      <c r="AL13" s="803"/>
      <c r="AM13" s="804"/>
      <c r="AN13" s="803"/>
      <c r="AO13" s="803"/>
      <c r="AP13" s="803"/>
      <c r="AQ13" s="804"/>
      <c r="AR13" s="805"/>
      <c r="AS13" s="803"/>
      <c r="AT13" s="803"/>
      <c r="AU13" s="803"/>
      <c r="AV13" s="803"/>
      <c r="AW13" s="803"/>
      <c r="AX13" s="803"/>
      <c r="AY13" s="803"/>
      <c r="AZ13" s="803"/>
      <c r="BA13" s="803"/>
      <c r="BB13" s="803"/>
      <c r="BC13" s="803"/>
      <c r="BD13" s="803"/>
      <c r="BE13" s="804"/>
      <c r="BF13" s="805"/>
      <c r="BG13" s="302"/>
      <c r="BH13" s="570"/>
      <c r="BI13" s="1080"/>
      <c r="BJ13" s="823"/>
      <c r="BK13" s="807"/>
      <c r="BL13" s="807"/>
    </row>
    <row r="14" spans="1:65" ht="125.15" customHeight="1" x14ac:dyDescent="0.35">
      <c r="A14" s="1459">
        <v>4</v>
      </c>
      <c r="B14" s="1358" t="s">
        <v>2304</v>
      </c>
      <c r="C14" s="1281" t="s">
        <v>1777</v>
      </c>
      <c r="D14" s="1281" t="s">
        <v>1759</v>
      </c>
      <c r="E14" s="1470"/>
      <c r="F14" s="1081"/>
      <c r="G14" s="826"/>
      <c r="H14" s="826"/>
      <c r="I14" s="826"/>
      <c r="J14" s="827"/>
      <c r="K14" s="826"/>
      <c r="L14" s="826"/>
      <c r="M14" s="826"/>
      <c r="N14" s="828"/>
      <c r="O14" s="1281" t="s">
        <v>1760</v>
      </c>
      <c r="P14" s="1281" t="s">
        <v>1778</v>
      </c>
      <c r="Q14" s="331"/>
      <c r="R14" s="331"/>
      <c r="S14" s="1268"/>
      <c r="T14" s="1311" t="s">
        <v>1763</v>
      </c>
      <c r="U14" s="329"/>
      <c r="V14" s="1268"/>
      <c r="W14" s="489"/>
      <c r="X14" s="610"/>
      <c r="Y14" s="1268" t="s">
        <v>1779</v>
      </c>
      <c r="Z14" s="1311" t="s">
        <v>1763</v>
      </c>
      <c r="AA14" s="489"/>
      <c r="AB14" s="589" t="s">
        <v>1773</v>
      </c>
      <c r="AC14" s="1268"/>
      <c r="AD14" s="1311"/>
      <c r="AE14" s="329"/>
      <c r="AF14" s="1472"/>
      <c r="AG14" s="1309">
        <v>4</v>
      </c>
      <c r="AH14" s="1275">
        <v>4</v>
      </c>
      <c r="AI14" s="1271"/>
      <c r="AJ14" s="1480" t="s">
        <v>1777</v>
      </c>
      <c r="AK14" s="618"/>
      <c r="AL14" s="1091"/>
      <c r="AM14" s="1099"/>
      <c r="AN14" s="1099"/>
      <c r="AO14" s="493"/>
      <c r="AP14" s="1099"/>
      <c r="AQ14" s="1099"/>
      <c r="AR14" s="597"/>
      <c r="AS14" s="493"/>
      <c r="AT14" s="493"/>
      <c r="AU14" s="493"/>
      <c r="AV14" s="493"/>
      <c r="AW14" s="493"/>
      <c r="AX14" s="493"/>
      <c r="AY14" s="493"/>
      <c r="AZ14" s="493"/>
      <c r="BA14" s="493"/>
      <c r="BB14" s="493"/>
      <c r="BC14" s="493"/>
      <c r="BD14" s="493"/>
      <c r="BE14" s="1099"/>
      <c r="BF14" s="589" t="s">
        <v>1773</v>
      </c>
      <c r="BG14" s="752"/>
      <c r="BH14" s="815"/>
      <c r="BI14" s="1432">
        <v>4</v>
      </c>
      <c r="BJ14" s="823"/>
      <c r="BK14" s="1316"/>
      <c r="BL14" s="1316"/>
    </row>
    <row r="15" spans="1:65" ht="125.15" customHeight="1" x14ac:dyDescent="0.35">
      <c r="A15" s="1460"/>
      <c r="B15" s="1359"/>
      <c r="C15" s="1282"/>
      <c r="D15" s="1282"/>
      <c r="E15" s="1471"/>
      <c r="F15" s="1313" t="s">
        <v>1593</v>
      </c>
      <c r="G15" s="1314"/>
      <c r="H15" s="1314"/>
      <c r="I15" s="1314"/>
      <c r="J15" s="1314"/>
      <c r="K15" s="1314"/>
      <c r="L15" s="1314"/>
      <c r="M15" s="1314"/>
      <c r="N15" s="1315"/>
      <c r="O15" s="1282"/>
      <c r="P15" s="1282"/>
      <c r="Q15" s="328"/>
      <c r="R15" s="328"/>
      <c r="S15" s="1270"/>
      <c r="T15" s="1312"/>
      <c r="U15" s="334"/>
      <c r="V15" s="1270"/>
      <c r="W15" s="583"/>
      <c r="X15" s="598"/>
      <c r="Y15" s="1270"/>
      <c r="Z15" s="1312"/>
      <c r="AA15" s="583"/>
      <c r="AB15" s="585"/>
      <c r="AC15" s="1270"/>
      <c r="AD15" s="1312"/>
      <c r="AE15" s="328"/>
      <c r="AF15" s="1473"/>
      <c r="AG15" s="1310"/>
      <c r="AH15" s="1276"/>
      <c r="AI15" s="1272"/>
      <c r="AJ15" s="1481"/>
      <c r="AK15" s="628"/>
      <c r="AL15" s="477"/>
      <c r="AM15" s="488"/>
      <c r="AN15" s="488"/>
      <c r="AO15" s="477"/>
      <c r="AP15" s="488"/>
      <c r="AQ15" s="488"/>
      <c r="AR15" s="628"/>
      <c r="AS15" s="477"/>
      <c r="AT15" s="477"/>
      <c r="AU15" s="477"/>
      <c r="AV15" s="477"/>
      <c r="AW15" s="477"/>
      <c r="AX15" s="477"/>
      <c r="AY15" s="477"/>
      <c r="AZ15" s="477"/>
      <c r="BA15" s="477"/>
      <c r="BB15" s="477"/>
      <c r="BC15" s="477"/>
      <c r="BD15" s="477"/>
      <c r="BE15" s="488"/>
      <c r="BF15" s="585"/>
      <c r="BG15" s="753"/>
      <c r="BH15" s="817"/>
      <c r="BI15" s="1433"/>
      <c r="BJ15" s="823"/>
      <c r="BK15" s="1317"/>
      <c r="BL15" s="1317"/>
    </row>
    <row r="16" spans="1:65" ht="17.25" customHeight="1" x14ac:dyDescent="0.35">
      <c r="A16" s="1204"/>
      <c r="B16" s="795"/>
      <c r="C16" s="796" t="s">
        <v>1780</v>
      </c>
      <c r="D16" s="302"/>
      <c r="E16" s="303"/>
      <c r="F16" s="303"/>
      <c r="G16" s="303"/>
      <c r="H16" s="303"/>
      <c r="I16" s="303"/>
      <c r="J16" s="303"/>
      <c r="K16" s="303"/>
      <c r="L16" s="303"/>
      <c r="M16" s="303"/>
      <c r="N16" s="307"/>
      <c r="O16" s="303"/>
      <c r="P16" s="302"/>
      <c r="Q16" s="305"/>
      <c r="R16" s="305"/>
      <c r="S16" s="306"/>
      <c r="T16" s="560"/>
      <c r="U16" s="305"/>
      <c r="V16" s="305"/>
      <c r="W16" s="506"/>
      <c r="X16" s="584"/>
      <c r="Y16" s="307"/>
      <c r="Z16" s="560"/>
      <c r="AA16" s="506"/>
      <c r="AB16" s="584"/>
      <c r="AC16" s="307"/>
      <c r="AD16" s="560"/>
      <c r="AE16" s="305"/>
      <c r="AF16" s="1075"/>
      <c r="AG16" s="1078"/>
      <c r="AH16" s="1079"/>
      <c r="AI16" s="800"/>
      <c r="AJ16" s="1201" t="s">
        <v>1780</v>
      </c>
      <c r="AK16" s="805"/>
      <c r="AL16" s="803"/>
      <c r="AM16" s="804"/>
      <c r="AN16" s="803"/>
      <c r="AO16" s="803"/>
      <c r="AP16" s="803"/>
      <c r="AQ16" s="804"/>
      <c r="AR16" s="805"/>
      <c r="AS16" s="803"/>
      <c r="AT16" s="803"/>
      <c r="AU16" s="803"/>
      <c r="AV16" s="803"/>
      <c r="AW16" s="803"/>
      <c r="AX16" s="803"/>
      <c r="AY16" s="803"/>
      <c r="AZ16" s="803"/>
      <c r="BA16" s="803"/>
      <c r="BB16" s="803"/>
      <c r="BC16" s="803"/>
      <c r="BD16" s="803"/>
      <c r="BE16" s="804"/>
      <c r="BF16" s="805"/>
      <c r="BG16" s="302"/>
      <c r="BH16" s="570"/>
      <c r="BI16" s="1080"/>
      <c r="BJ16" s="823"/>
      <c r="BK16" s="807"/>
      <c r="BL16" s="807"/>
    </row>
    <row r="17" spans="1:65" ht="125.15" customHeight="1" x14ac:dyDescent="0.35">
      <c r="A17" s="1459">
        <v>5</v>
      </c>
      <c r="B17" s="1358" t="s">
        <v>2305</v>
      </c>
      <c r="C17" s="1281" t="s">
        <v>1781</v>
      </c>
      <c r="D17" s="1281" t="s">
        <v>1759</v>
      </c>
      <c r="E17" s="1470"/>
      <c r="F17" s="1081"/>
      <c r="G17" s="826"/>
      <c r="H17" s="826"/>
      <c r="I17" s="826"/>
      <c r="J17" s="827"/>
      <c r="K17" s="826"/>
      <c r="L17" s="826"/>
      <c r="M17" s="826"/>
      <c r="N17" s="828"/>
      <c r="O17" s="1281" t="s">
        <v>1760</v>
      </c>
      <c r="P17" s="1281" t="s">
        <v>1778</v>
      </c>
      <c r="Q17" s="330"/>
      <c r="R17" s="330"/>
      <c r="S17" s="1268" t="s">
        <v>1782</v>
      </c>
      <c r="T17" s="1311" t="s">
        <v>1763</v>
      </c>
      <c r="U17" s="329"/>
      <c r="V17" s="1268"/>
      <c r="W17" s="612"/>
      <c r="X17" s="582" t="s">
        <v>1769</v>
      </c>
      <c r="Y17" s="1268" t="s">
        <v>1783</v>
      </c>
      <c r="Z17" s="1311" t="s">
        <v>1763</v>
      </c>
      <c r="AA17" s="612"/>
      <c r="AB17" s="589" t="s">
        <v>1784</v>
      </c>
      <c r="AC17" s="1268"/>
      <c r="AD17" s="1311"/>
      <c r="AE17" s="327"/>
      <c r="AF17" s="1472" t="s">
        <v>1785</v>
      </c>
      <c r="AG17" s="1309">
        <v>5</v>
      </c>
      <c r="AH17" s="1275">
        <v>5</v>
      </c>
      <c r="AI17" s="1271"/>
      <c r="AJ17" s="1480" t="s">
        <v>1781</v>
      </c>
      <c r="AK17" s="618"/>
      <c r="AL17" s="1091"/>
      <c r="AM17" s="1099"/>
      <c r="AN17" s="1099"/>
      <c r="AO17" s="493"/>
      <c r="AP17" s="1099"/>
      <c r="AQ17" s="1099"/>
      <c r="AR17" s="597"/>
      <c r="AS17" s="569" t="s">
        <v>1769</v>
      </c>
      <c r="AT17" s="329"/>
      <c r="AU17" s="329"/>
      <c r="AV17" s="329"/>
      <c r="AW17" s="329"/>
      <c r="AX17" s="329"/>
      <c r="AY17" s="329"/>
      <c r="AZ17" s="329"/>
      <c r="BA17" s="569" t="s">
        <v>1769</v>
      </c>
      <c r="BB17" s="329"/>
      <c r="BC17" s="329"/>
      <c r="BD17" s="329"/>
      <c r="BE17" s="643" t="s">
        <v>1769</v>
      </c>
      <c r="BF17" s="589" t="s">
        <v>1769</v>
      </c>
      <c r="BG17" s="569" t="s">
        <v>1769</v>
      </c>
      <c r="BH17" s="815"/>
      <c r="BI17" s="1432">
        <v>5</v>
      </c>
      <c r="BJ17" s="823"/>
      <c r="BK17" s="1316"/>
      <c r="BL17" s="1316"/>
    </row>
    <row r="18" spans="1:65" ht="125.15" customHeight="1" x14ac:dyDescent="0.35">
      <c r="A18" s="1460"/>
      <c r="B18" s="1359"/>
      <c r="C18" s="1282"/>
      <c r="D18" s="1282"/>
      <c r="E18" s="1471"/>
      <c r="F18" s="1313" t="s">
        <v>1593</v>
      </c>
      <c r="G18" s="1314"/>
      <c r="H18" s="1314"/>
      <c r="I18" s="1314"/>
      <c r="J18" s="1314"/>
      <c r="K18" s="1314"/>
      <c r="L18" s="1314"/>
      <c r="M18" s="1314"/>
      <c r="N18" s="1315"/>
      <c r="O18" s="1282"/>
      <c r="P18" s="1282"/>
      <c r="Q18" s="456">
        <f>683000+245000</f>
        <v>928000</v>
      </c>
      <c r="R18" s="456">
        <v>1149386</v>
      </c>
      <c r="S18" s="1270"/>
      <c r="T18" s="1312"/>
      <c r="U18" s="334"/>
      <c r="V18" s="1270"/>
      <c r="W18" s="613">
        <f>Q18</f>
        <v>928000</v>
      </c>
      <c r="X18" s="585"/>
      <c r="Y18" s="1270"/>
      <c r="Z18" s="1312"/>
      <c r="AA18" s="613">
        <f>W18</f>
        <v>928000</v>
      </c>
      <c r="AB18" s="585"/>
      <c r="AC18" s="1270"/>
      <c r="AD18" s="1312"/>
      <c r="AE18" s="486">
        <f>AA18</f>
        <v>928000</v>
      </c>
      <c r="AF18" s="1473"/>
      <c r="AG18" s="1310"/>
      <c r="AH18" s="1276"/>
      <c r="AI18" s="1272"/>
      <c r="AJ18" s="1481"/>
      <c r="AK18" s="628"/>
      <c r="AL18" s="477"/>
      <c r="AM18" s="488"/>
      <c r="AN18" s="488"/>
      <c r="AO18" s="477"/>
      <c r="AP18" s="488"/>
      <c r="AQ18" s="488"/>
      <c r="AR18" s="628"/>
      <c r="AS18" s="663"/>
      <c r="AT18" s="477"/>
      <c r="AU18" s="477"/>
      <c r="AV18" s="477"/>
      <c r="AW18" s="477"/>
      <c r="AX18" s="477"/>
      <c r="AY18" s="477"/>
      <c r="AZ18" s="477"/>
      <c r="BA18" s="663"/>
      <c r="BB18" s="477"/>
      <c r="BC18" s="477"/>
      <c r="BD18" s="477"/>
      <c r="BE18" s="711"/>
      <c r="BF18" s="585"/>
      <c r="BG18" s="663"/>
      <c r="BH18" s="817"/>
      <c r="BI18" s="1433"/>
      <c r="BJ18" s="823"/>
      <c r="BK18" s="1317"/>
      <c r="BL18" s="1317"/>
    </row>
    <row r="19" spans="1:65" ht="17.25" customHeight="1" x14ac:dyDescent="0.35">
      <c r="A19" s="1204"/>
      <c r="B19" s="795"/>
      <c r="C19" s="796" t="s">
        <v>1786</v>
      </c>
      <c r="D19" s="302"/>
      <c r="E19" s="303"/>
      <c r="F19" s="303"/>
      <c r="G19" s="303"/>
      <c r="H19" s="303"/>
      <c r="I19" s="303"/>
      <c r="J19" s="303"/>
      <c r="K19" s="303"/>
      <c r="L19" s="303"/>
      <c r="M19" s="303"/>
      <c r="N19" s="307"/>
      <c r="O19" s="303"/>
      <c r="P19" s="302"/>
      <c r="Q19" s="305"/>
      <c r="R19" s="305"/>
      <c r="S19" s="306"/>
      <c r="T19" s="560"/>
      <c r="U19" s="305"/>
      <c r="V19" s="305"/>
      <c r="W19" s="506"/>
      <c r="X19" s="584"/>
      <c r="Y19" s="307"/>
      <c r="Z19" s="560"/>
      <c r="AA19" s="506"/>
      <c r="AB19" s="584"/>
      <c r="AC19" s="307"/>
      <c r="AD19" s="560"/>
      <c r="AE19" s="305"/>
      <c r="AF19" s="1075"/>
      <c r="AG19" s="1078"/>
      <c r="AH19" s="1079"/>
      <c r="AI19" s="800"/>
      <c r="AJ19" s="1201" t="s">
        <v>1786</v>
      </c>
      <c r="AK19" s="805"/>
      <c r="AL19" s="803"/>
      <c r="AM19" s="804"/>
      <c r="AN19" s="803"/>
      <c r="AO19" s="803"/>
      <c r="AP19" s="803"/>
      <c r="AQ19" s="804"/>
      <c r="AR19" s="805"/>
      <c r="AS19" s="803"/>
      <c r="AT19" s="803"/>
      <c r="AU19" s="803"/>
      <c r="AV19" s="803"/>
      <c r="AW19" s="803"/>
      <c r="AX19" s="803"/>
      <c r="AY19" s="803"/>
      <c r="AZ19" s="803"/>
      <c r="BA19" s="803"/>
      <c r="BB19" s="803"/>
      <c r="BC19" s="803"/>
      <c r="BD19" s="803"/>
      <c r="BE19" s="804"/>
      <c r="BF19" s="805"/>
      <c r="BG19" s="302"/>
      <c r="BH19" s="570"/>
      <c r="BI19" s="1080"/>
      <c r="BJ19" s="823"/>
      <c r="BK19" s="807"/>
      <c r="BL19" s="807"/>
    </row>
    <row r="20" spans="1:65" ht="125.15" customHeight="1" x14ac:dyDescent="0.35">
      <c r="A20" s="1459">
        <v>6</v>
      </c>
      <c r="B20" s="1358" t="s">
        <v>2306</v>
      </c>
      <c r="C20" s="1281" t="s">
        <v>1787</v>
      </c>
      <c r="D20" s="1281" t="s">
        <v>1759</v>
      </c>
      <c r="E20" s="1470"/>
      <c r="F20" s="1081"/>
      <c r="G20" s="826"/>
      <c r="H20" s="826"/>
      <c r="I20" s="826"/>
      <c r="J20" s="827"/>
      <c r="K20" s="826"/>
      <c r="L20" s="826"/>
      <c r="M20" s="826"/>
      <c r="N20" s="828"/>
      <c r="O20" s="1281" t="s">
        <v>1760</v>
      </c>
      <c r="P20" s="1281" t="s">
        <v>1778</v>
      </c>
      <c r="Q20" s="330"/>
      <c r="R20" s="330"/>
      <c r="S20" s="1268" t="s">
        <v>1788</v>
      </c>
      <c r="T20" s="1311" t="s">
        <v>1763</v>
      </c>
      <c r="U20" s="329"/>
      <c r="V20" s="1268"/>
      <c r="W20" s="612"/>
      <c r="X20" s="582" t="s">
        <v>1769</v>
      </c>
      <c r="Y20" s="1268" t="s">
        <v>1783</v>
      </c>
      <c r="Z20" s="1311" t="s">
        <v>1763</v>
      </c>
      <c r="AA20" s="612"/>
      <c r="AB20" s="589" t="s">
        <v>1784</v>
      </c>
      <c r="AC20" s="1268"/>
      <c r="AD20" s="1311"/>
      <c r="AE20" s="327"/>
      <c r="AF20" s="1472" t="s">
        <v>1785</v>
      </c>
      <c r="AG20" s="1309">
        <v>6</v>
      </c>
      <c r="AH20" s="1275">
        <v>6</v>
      </c>
      <c r="AI20" s="1271"/>
      <c r="AJ20" s="1480" t="s">
        <v>1787</v>
      </c>
      <c r="AK20" s="618"/>
      <c r="AL20" s="1091"/>
      <c r="AM20" s="1099"/>
      <c r="AN20" s="1099"/>
      <c r="AO20" s="493"/>
      <c r="AP20" s="1099"/>
      <c r="AQ20" s="1099"/>
      <c r="AR20" s="597"/>
      <c r="AS20" s="493"/>
      <c r="AT20" s="493"/>
      <c r="AU20" s="493"/>
      <c r="AV20" s="493"/>
      <c r="AW20" s="493"/>
      <c r="AX20" s="569" t="s">
        <v>1769</v>
      </c>
      <c r="AY20" s="329"/>
      <c r="AZ20" s="329"/>
      <c r="BA20" s="329"/>
      <c r="BB20" s="329"/>
      <c r="BC20" s="329"/>
      <c r="BD20" s="329"/>
      <c r="BE20" s="489"/>
      <c r="BF20" s="589" t="s">
        <v>1769</v>
      </c>
      <c r="BG20" s="569" t="s">
        <v>1769</v>
      </c>
      <c r="BH20" s="815"/>
      <c r="BI20" s="1432">
        <v>6</v>
      </c>
      <c r="BJ20" s="823"/>
      <c r="BK20" s="1316"/>
      <c r="BL20" s="1316"/>
    </row>
    <row r="21" spans="1:65" ht="125.15" customHeight="1" x14ac:dyDescent="0.35">
      <c r="A21" s="1460"/>
      <c r="B21" s="1359"/>
      <c r="C21" s="1282"/>
      <c r="D21" s="1282"/>
      <c r="E21" s="1471"/>
      <c r="F21" s="1313" t="s">
        <v>1593</v>
      </c>
      <c r="G21" s="1314"/>
      <c r="H21" s="1314"/>
      <c r="I21" s="1314"/>
      <c r="J21" s="1314"/>
      <c r="K21" s="1314"/>
      <c r="L21" s="1314"/>
      <c r="M21" s="1314"/>
      <c r="N21" s="1315"/>
      <c r="O21" s="1282"/>
      <c r="P21" s="1282"/>
      <c r="Q21" s="456">
        <v>318000</v>
      </c>
      <c r="R21" s="456">
        <v>393863</v>
      </c>
      <c r="S21" s="1270"/>
      <c r="T21" s="1312"/>
      <c r="U21" s="334"/>
      <c r="V21" s="1270"/>
      <c r="W21" s="613">
        <f>Q21</f>
        <v>318000</v>
      </c>
      <c r="X21" s="585"/>
      <c r="Y21" s="1270"/>
      <c r="Z21" s="1312"/>
      <c r="AA21" s="613">
        <f>W21</f>
        <v>318000</v>
      </c>
      <c r="AB21" s="585"/>
      <c r="AC21" s="1270"/>
      <c r="AD21" s="1312"/>
      <c r="AE21" s="486">
        <f>AA21</f>
        <v>318000</v>
      </c>
      <c r="AF21" s="1473"/>
      <c r="AG21" s="1310"/>
      <c r="AH21" s="1276"/>
      <c r="AI21" s="1272"/>
      <c r="AJ21" s="1481"/>
      <c r="AK21" s="628"/>
      <c r="AL21" s="477"/>
      <c r="AM21" s="488"/>
      <c r="AN21" s="488"/>
      <c r="AO21" s="477"/>
      <c r="AP21" s="488"/>
      <c r="AQ21" s="488"/>
      <c r="AR21" s="628"/>
      <c r="AS21" s="477"/>
      <c r="AT21" s="477"/>
      <c r="AU21" s="477"/>
      <c r="AV21" s="477"/>
      <c r="AW21" s="477"/>
      <c r="AX21" s="663"/>
      <c r="AY21" s="477"/>
      <c r="AZ21" s="477"/>
      <c r="BA21" s="477"/>
      <c r="BB21" s="477"/>
      <c r="BC21" s="477"/>
      <c r="BD21" s="477"/>
      <c r="BE21" s="488"/>
      <c r="BF21" s="585"/>
      <c r="BG21" s="663"/>
      <c r="BH21" s="817"/>
      <c r="BI21" s="1433"/>
      <c r="BJ21" s="823"/>
      <c r="BK21" s="1317"/>
      <c r="BL21" s="1317"/>
    </row>
    <row r="22" spans="1:65" ht="17.25" customHeight="1" x14ac:dyDescent="0.35">
      <c r="A22" s="1204"/>
      <c r="B22" s="795"/>
      <c r="C22" s="819" t="s">
        <v>1789</v>
      </c>
      <c r="D22" s="302"/>
      <c r="E22" s="303"/>
      <c r="F22" s="303"/>
      <c r="G22" s="303"/>
      <c r="H22" s="303"/>
      <c r="I22" s="303"/>
      <c r="J22" s="303"/>
      <c r="K22" s="303"/>
      <c r="L22" s="303"/>
      <c r="M22" s="303"/>
      <c r="N22" s="307"/>
      <c r="O22" s="303"/>
      <c r="P22" s="302"/>
      <c r="Q22" s="305"/>
      <c r="R22" s="305"/>
      <c r="S22" s="306"/>
      <c r="T22" s="560"/>
      <c r="U22" s="305"/>
      <c r="V22" s="305"/>
      <c r="W22" s="506"/>
      <c r="X22" s="584"/>
      <c r="Y22" s="307"/>
      <c r="Z22" s="560"/>
      <c r="AA22" s="506"/>
      <c r="AB22" s="584"/>
      <c r="AC22" s="307"/>
      <c r="AD22" s="560"/>
      <c r="AE22" s="305"/>
      <c r="AF22" s="1075"/>
      <c r="AG22" s="1078"/>
      <c r="AH22" s="1079"/>
      <c r="AI22" s="800"/>
      <c r="AJ22" s="1205" t="s">
        <v>1789</v>
      </c>
      <c r="AK22" s="805"/>
      <c r="AL22" s="803"/>
      <c r="AM22" s="804"/>
      <c r="AN22" s="803"/>
      <c r="AO22" s="803"/>
      <c r="AP22" s="803"/>
      <c r="AQ22" s="804"/>
      <c r="AR22" s="805"/>
      <c r="AS22" s="803"/>
      <c r="AT22" s="803"/>
      <c r="AU22" s="803"/>
      <c r="AV22" s="803"/>
      <c r="AW22" s="803"/>
      <c r="AX22" s="803"/>
      <c r="AY22" s="803"/>
      <c r="AZ22" s="803"/>
      <c r="BA22" s="803"/>
      <c r="BB22" s="803"/>
      <c r="BC22" s="803"/>
      <c r="BD22" s="803"/>
      <c r="BE22" s="804"/>
      <c r="BF22" s="805"/>
      <c r="BG22" s="302"/>
      <c r="BH22" s="570"/>
      <c r="BI22" s="1080"/>
      <c r="BJ22" s="823"/>
      <c r="BK22" s="807"/>
      <c r="BL22" s="807"/>
    </row>
    <row r="23" spans="1:65" ht="125.15" customHeight="1" x14ac:dyDescent="0.35">
      <c r="A23" s="1459">
        <v>7</v>
      </c>
      <c r="B23" s="1358" t="s">
        <v>2307</v>
      </c>
      <c r="C23" s="1281" t="s">
        <v>1790</v>
      </c>
      <c r="D23" s="1281" t="s">
        <v>1759</v>
      </c>
      <c r="E23" s="1470"/>
      <c r="F23" s="1081"/>
      <c r="G23" s="826"/>
      <c r="H23" s="826"/>
      <c r="I23" s="826"/>
      <c r="J23" s="827"/>
      <c r="K23" s="826"/>
      <c r="L23" s="826"/>
      <c r="M23" s="826"/>
      <c r="N23" s="828"/>
      <c r="O23" s="1281" t="s">
        <v>1760</v>
      </c>
      <c r="P23" s="1281" t="s">
        <v>1778</v>
      </c>
      <c r="Q23" s="324"/>
      <c r="R23" s="324"/>
      <c r="S23" s="1268" t="s">
        <v>1791</v>
      </c>
      <c r="T23" s="1311" t="s">
        <v>1763</v>
      </c>
      <c r="U23" s="329"/>
      <c r="V23" s="1268"/>
      <c r="W23" s="612"/>
      <c r="X23" s="589" t="s">
        <v>1769</v>
      </c>
      <c r="Y23" s="1268" t="s">
        <v>1783</v>
      </c>
      <c r="Z23" s="1311" t="s">
        <v>1763</v>
      </c>
      <c r="AA23" s="612"/>
      <c r="AB23" s="589" t="s">
        <v>1784</v>
      </c>
      <c r="AC23" s="1268"/>
      <c r="AD23" s="1311"/>
      <c r="AE23" s="327"/>
      <c r="AF23" s="1472" t="s">
        <v>1785</v>
      </c>
      <c r="AG23" s="1309">
        <v>7</v>
      </c>
      <c r="AH23" s="1275">
        <v>7</v>
      </c>
      <c r="AI23" s="1271"/>
      <c r="AJ23" s="1480" t="s">
        <v>1790</v>
      </c>
      <c r="AK23" s="618"/>
      <c r="AL23" s="1091"/>
      <c r="AM23" s="1099"/>
      <c r="AN23" s="1099"/>
      <c r="AO23" s="493"/>
      <c r="AP23" s="1099"/>
      <c r="AQ23" s="1099"/>
      <c r="AR23" s="589" t="s">
        <v>1769</v>
      </c>
      <c r="AS23" s="493"/>
      <c r="AT23" s="493"/>
      <c r="AU23" s="493"/>
      <c r="AV23" s="493"/>
      <c r="AW23" s="493"/>
      <c r="AX23" s="493"/>
      <c r="AY23" s="493"/>
      <c r="AZ23" s="493"/>
      <c r="BA23" s="493"/>
      <c r="BB23" s="569" t="s">
        <v>1769</v>
      </c>
      <c r="BC23" s="493"/>
      <c r="BD23" s="493"/>
      <c r="BE23" s="1099"/>
      <c r="BF23" s="589" t="s">
        <v>1769</v>
      </c>
      <c r="BG23" s="569" t="s">
        <v>1769</v>
      </c>
      <c r="BH23" s="815"/>
      <c r="BI23" s="1432">
        <v>7</v>
      </c>
      <c r="BJ23" s="823"/>
      <c r="BK23" s="1316"/>
      <c r="BL23" s="1316"/>
    </row>
    <row r="24" spans="1:65" ht="125.15" customHeight="1" x14ac:dyDescent="0.35">
      <c r="A24" s="1460"/>
      <c r="B24" s="1359"/>
      <c r="C24" s="1302"/>
      <c r="D24" s="1302"/>
      <c r="E24" s="1485"/>
      <c r="F24" s="1355" t="s">
        <v>1593</v>
      </c>
      <c r="G24" s="1356"/>
      <c r="H24" s="1356"/>
      <c r="I24" s="1356"/>
      <c r="J24" s="1356"/>
      <c r="K24" s="1356"/>
      <c r="L24" s="1356"/>
      <c r="M24" s="1356"/>
      <c r="N24" s="1357"/>
      <c r="O24" s="1302"/>
      <c r="P24" s="1302"/>
      <c r="Q24" s="465">
        <f>207500+393500</f>
        <v>601000</v>
      </c>
      <c r="R24" s="465">
        <v>744376</v>
      </c>
      <c r="S24" s="1269"/>
      <c r="T24" s="1334"/>
      <c r="U24" s="679"/>
      <c r="V24" s="1269"/>
      <c r="W24" s="607">
        <f>Q24</f>
        <v>601000</v>
      </c>
      <c r="X24" s="582"/>
      <c r="Y24" s="1269"/>
      <c r="Z24" s="1334"/>
      <c r="AA24" s="607">
        <f>W24</f>
        <v>601000</v>
      </c>
      <c r="AB24" s="582"/>
      <c r="AC24" s="1269"/>
      <c r="AD24" s="1334"/>
      <c r="AE24" s="689">
        <f>AA24</f>
        <v>601000</v>
      </c>
      <c r="AF24" s="1484"/>
      <c r="AG24" s="1310"/>
      <c r="AH24" s="1276"/>
      <c r="AI24" s="1296"/>
      <c r="AJ24" s="1500"/>
      <c r="AK24" s="611"/>
      <c r="AL24" s="480"/>
      <c r="AM24" s="690"/>
      <c r="AN24" s="690"/>
      <c r="AO24" s="480"/>
      <c r="AP24" s="690"/>
      <c r="AQ24" s="690"/>
      <c r="AR24" s="582"/>
      <c r="AS24" s="480"/>
      <c r="AT24" s="480"/>
      <c r="AU24" s="480"/>
      <c r="AV24" s="480"/>
      <c r="AW24" s="480"/>
      <c r="AX24" s="480"/>
      <c r="AY24" s="480"/>
      <c r="AZ24" s="480"/>
      <c r="BA24" s="480"/>
      <c r="BB24" s="563"/>
      <c r="BC24" s="480"/>
      <c r="BD24" s="480"/>
      <c r="BE24" s="690"/>
      <c r="BF24" s="582"/>
      <c r="BG24" s="563"/>
      <c r="BH24" s="1098"/>
      <c r="BI24" s="1433"/>
      <c r="BJ24" s="823"/>
      <c r="BK24" s="1317"/>
      <c r="BL24" s="1317"/>
    </row>
    <row r="25" spans="1:65" ht="17.25" customHeight="1" x14ac:dyDescent="0.35">
      <c r="A25" s="1204"/>
      <c r="B25" s="795"/>
      <c r="C25" s="796" t="s">
        <v>1792</v>
      </c>
      <c r="D25" s="302"/>
      <c r="E25" s="303"/>
      <c r="F25" s="303"/>
      <c r="G25" s="303"/>
      <c r="H25" s="303"/>
      <c r="I25" s="303"/>
      <c r="J25" s="303"/>
      <c r="K25" s="303"/>
      <c r="L25" s="303"/>
      <c r="M25" s="303"/>
      <c r="N25" s="307"/>
      <c r="O25" s="303"/>
      <c r="P25" s="302"/>
      <c r="Q25" s="305"/>
      <c r="R25" s="305"/>
      <c r="S25" s="306"/>
      <c r="T25" s="560"/>
      <c r="U25" s="305"/>
      <c r="V25" s="305"/>
      <c r="W25" s="506"/>
      <c r="X25" s="584"/>
      <c r="Y25" s="307"/>
      <c r="Z25" s="560"/>
      <c r="AA25" s="506"/>
      <c r="AB25" s="584"/>
      <c r="AC25" s="307"/>
      <c r="AD25" s="560"/>
      <c r="AE25" s="305"/>
      <c r="AF25" s="1075"/>
      <c r="AG25" s="1078"/>
      <c r="AH25" s="1079"/>
      <c r="AI25" s="800"/>
      <c r="AJ25" s="1201" t="s">
        <v>1792</v>
      </c>
      <c r="AK25" s="805"/>
      <c r="AL25" s="803"/>
      <c r="AM25" s="804"/>
      <c r="AN25" s="803"/>
      <c r="AO25" s="803"/>
      <c r="AP25" s="803"/>
      <c r="AQ25" s="804"/>
      <c r="AR25" s="805"/>
      <c r="AS25" s="803"/>
      <c r="AT25" s="803"/>
      <c r="AU25" s="803"/>
      <c r="AV25" s="803"/>
      <c r="AW25" s="803"/>
      <c r="AX25" s="803"/>
      <c r="AY25" s="803"/>
      <c r="AZ25" s="803"/>
      <c r="BA25" s="803"/>
      <c r="BB25" s="803"/>
      <c r="BC25" s="803"/>
      <c r="BD25" s="803"/>
      <c r="BE25" s="804"/>
      <c r="BF25" s="805"/>
      <c r="BG25" s="302"/>
      <c r="BH25" s="570"/>
      <c r="BI25" s="1080"/>
      <c r="BJ25" s="823"/>
      <c r="BK25" s="807"/>
      <c r="BL25" s="807"/>
    </row>
    <row r="26" spans="1:65" ht="125.15" customHeight="1" x14ac:dyDescent="0.35">
      <c r="A26" s="1459">
        <v>8</v>
      </c>
      <c r="B26" s="1358" t="s">
        <v>2308</v>
      </c>
      <c r="C26" s="1281" t="s">
        <v>1793</v>
      </c>
      <c r="D26" s="1281" t="s">
        <v>1759</v>
      </c>
      <c r="E26" s="1470"/>
      <c r="F26" s="1081"/>
      <c r="G26" s="826"/>
      <c r="H26" s="826"/>
      <c r="I26" s="826"/>
      <c r="J26" s="827"/>
      <c r="K26" s="826"/>
      <c r="L26" s="826"/>
      <c r="M26" s="826"/>
      <c r="N26" s="828"/>
      <c r="O26" s="1281" t="s">
        <v>1760</v>
      </c>
      <c r="P26" s="1281" t="s">
        <v>1778</v>
      </c>
      <c r="Q26" s="330"/>
      <c r="R26" s="330"/>
      <c r="S26" s="1268" t="s">
        <v>1794</v>
      </c>
      <c r="T26" s="1311" t="s">
        <v>1763</v>
      </c>
      <c r="U26" s="329"/>
      <c r="V26" s="1268"/>
      <c r="W26" s="612"/>
      <c r="X26" s="582" t="s">
        <v>1769</v>
      </c>
      <c r="Y26" s="1268" t="s">
        <v>1783</v>
      </c>
      <c r="Z26" s="1311" t="s">
        <v>1763</v>
      </c>
      <c r="AA26" s="612"/>
      <c r="AB26" s="589" t="s">
        <v>1784</v>
      </c>
      <c r="AC26" s="1268"/>
      <c r="AD26" s="1311"/>
      <c r="AE26" s="327"/>
      <c r="AF26" s="1472" t="s">
        <v>1785</v>
      </c>
      <c r="AG26" s="1309">
        <v>8</v>
      </c>
      <c r="AH26" s="1275">
        <v>8</v>
      </c>
      <c r="AI26" s="1271"/>
      <c r="AJ26" s="1480" t="s">
        <v>1793</v>
      </c>
      <c r="AK26" s="618"/>
      <c r="AL26" s="1091"/>
      <c r="AM26" s="1099"/>
      <c r="AN26" s="1099"/>
      <c r="AO26" s="493"/>
      <c r="AP26" s="1099"/>
      <c r="AQ26" s="1099"/>
      <c r="AR26" s="597"/>
      <c r="AS26" s="493"/>
      <c r="AT26" s="493"/>
      <c r="AU26" s="493"/>
      <c r="AV26" s="493"/>
      <c r="AW26" s="493"/>
      <c r="AX26" s="493"/>
      <c r="AY26" s="493"/>
      <c r="AZ26" s="493"/>
      <c r="BA26" s="493"/>
      <c r="BB26" s="493"/>
      <c r="BC26" s="493"/>
      <c r="BD26" s="493"/>
      <c r="BE26" s="1099"/>
      <c r="BF26" s="885"/>
      <c r="BG26" s="569" t="s">
        <v>1769</v>
      </c>
      <c r="BH26" s="815"/>
      <c r="BI26" s="1432">
        <v>8</v>
      </c>
      <c r="BJ26" s="823"/>
      <c r="BK26" s="1316"/>
      <c r="BL26" s="1316"/>
    </row>
    <row r="27" spans="1:65" ht="125.15" customHeight="1" thickBot="1" x14ac:dyDescent="0.4">
      <c r="A27" s="1460"/>
      <c r="B27" s="1359"/>
      <c r="C27" s="1301"/>
      <c r="D27" s="1301"/>
      <c r="E27" s="1545"/>
      <c r="F27" s="1364" t="s">
        <v>1593</v>
      </c>
      <c r="G27" s="1365"/>
      <c r="H27" s="1365"/>
      <c r="I27" s="1365"/>
      <c r="J27" s="1365"/>
      <c r="K27" s="1365"/>
      <c r="L27" s="1365"/>
      <c r="M27" s="1365"/>
      <c r="N27" s="1366"/>
      <c r="O27" s="1301"/>
      <c r="P27" s="1301"/>
      <c r="Q27" s="614">
        <v>160000</v>
      </c>
      <c r="R27" s="614">
        <v>198170</v>
      </c>
      <c r="S27" s="1278"/>
      <c r="T27" s="1544"/>
      <c r="U27" s="615"/>
      <c r="V27" s="1278"/>
      <c r="W27" s="616">
        <f>Q27</f>
        <v>160000</v>
      </c>
      <c r="X27" s="605"/>
      <c r="Y27" s="1278"/>
      <c r="Z27" s="1544"/>
      <c r="AA27" s="616">
        <f>W27</f>
        <v>160000</v>
      </c>
      <c r="AB27" s="605"/>
      <c r="AC27" s="1278"/>
      <c r="AD27" s="1544"/>
      <c r="AE27" s="617">
        <f>AA27</f>
        <v>160000</v>
      </c>
      <c r="AF27" s="1554"/>
      <c r="AG27" s="1310"/>
      <c r="AH27" s="1276"/>
      <c r="AI27" s="1297"/>
      <c r="AJ27" s="1555"/>
      <c r="AK27" s="1102"/>
      <c r="AL27" s="619"/>
      <c r="AM27" s="1101"/>
      <c r="AN27" s="1101"/>
      <c r="AO27" s="619"/>
      <c r="AP27" s="1101"/>
      <c r="AQ27" s="1101"/>
      <c r="AR27" s="1102"/>
      <c r="AS27" s="619"/>
      <c r="AT27" s="619"/>
      <c r="AU27" s="619"/>
      <c r="AV27" s="619"/>
      <c r="AW27" s="619"/>
      <c r="AX27" s="619"/>
      <c r="AY27" s="619"/>
      <c r="AZ27" s="619"/>
      <c r="BA27" s="619"/>
      <c r="BB27" s="619"/>
      <c r="BC27" s="619"/>
      <c r="BD27" s="619"/>
      <c r="BE27" s="1101"/>
      <c r="BF27" s="927"/>
      <c r="BG27" s="634"/>
      <c r="BH27" s="1103"/>
      <c r="BI27" s="1433"/>
      <c r="BJ27" s="823"/>
      <c r="BK27" s="1317"/>
      <c r="BL27" s="1317"/>
    </row>
    <row r="28" spans="1:65" ht="15" customHeight="1" x14ac:dyDescent="0.35">
      <c r="A28" s="868"/>
      <c r="B28" s="1072" t="s">
        <v>449</v>
      </c>
      <c r="C28" s="1072" t="s">
        <v>450</v>
      </c>
      <c r="D28" s="1072" t="s">
        <v>451</v>
      </c>
      <c r="E28" s="1072" t="s">
        <v>452</v>
      </c>
      <c r="F28" s="1531" t="s">
        <v>453</v>
      </c>
      <c r="G28" s="1532"/>
      <c r="H28" s="1532"/>
      <c r="I28" s="1532"/>
      <c r="J28" s="1532"/>
      <c r="K28" s="1532"/>
      <c r="L28" s="1532"/>
      <c r="M28" s="1532"/>
      <c r="N28" s="1533"/>
      <c r="O28" s="1072" t="s">
        <v>454</v>
      </c>
      <c r="P28" s="1072" t="s">
        <v>455</v>
      </c>
      <c r="Q28" s="1072" t="s">
        <v>456</v>
      </c>
      <c r="R28" s="1072"/>
      <c r="S28" s="1072" t="s">
        <v>457</v>
      </c>
      <c r="T28" s="1072" t="s">
        <v>458</v>
      </c>
      <c r="U28" s="1072" t="s">
        <v>459</v>
      </c>
      <c r="V28" s="1072" t="s">
        <v>460</v>
      </c>
      <c r="W28" s="1072" t="s">
        <v>461</v>
      </c>
      <c r="X28" s="1072" t="s">
        <v>242</v>
      </c>
      <c r="Y28" s="1072" t="s">
        <v>462</v>
      </c>
      <c r="Z28" s="1072" t="s">
        <v>463</v>
      </c>
      <c r="AA28" s="1072" t="s">
        <v>464</v>
      </c>
      <c r="AB28" s="1072" t="s">
        <v>465</v>
      </c>
      <c r="AC28" s="1072" t="s">
        <v>466</v>
      </c>
      <c r="AD28" s="1072" t="s">
        <v>467</v>
      </c>
      <c r="AE28" s="1072" t="s">
        <v>468</v>
      </c>
      <c r="AF28" s="1072" t="s">
        <v>469</v>
      </c>
      <c r="AG28" s="1185"/>
      <c r="AH28" s="1186"/>
      <c r="AI28" s="1072" t="s">
        <v>449</v>
      </c>
      <c r="AJ28" s="1072" t="s">
        <v>1107</v>
      </c>
      <c r="AK28" s="1072" t="s">
        <v>471</v>
      </c>
      <c r="AL28" s="1073" t="s">
        <v>472</v>
      </c>
      <c r="AM28" s="1072" t="s">
        <v>473</v>
      </c>
      <c r="AN28" s="1072" t="s">
        <v>474</v>
      </c>
      <c r="AO28" s="1072" t="s">
        <v>475</v>
      </c>
      <c r="AP28" s="1072" t="s">
        <v>476</v>
      </c>
      <c r="AQ28" s="1072" t="s">
        <v>477</v>
      </c>
      <c r="AR28" s="1072" t="s">
        <v>478</v>
      </c>
      <c r="AS28" s="1072" t="s">
        <v>479</v>
      </c>
      <c r="AT28" s="1072" t="s">
        <v>480</v>
      </c>
      <c r="AU28" s="1072" t="s">
        <v>481</v>
      </c>
      <c r="AV28" s="1072" t="s">
        <v>482</v>
      </c>
      <c r="AW28" s="1072" t="s">
        <v>483</v>
      </c>
      <c r="AX28" s="1072" t="s">
        <v>484</v>
      </c>
      <c r="AY28" s="1072" t="s">
        <v>485</v>
      </c>
      <c r="AZ28" s="1072" t="s">
        <v>486</v>
      </c>
      <c r="BA28" s="1072" t="s">
        <v>487</v>
      </c>
      <c r="BB28" s="1072" t="s">
        <v>488</v>
      </c>
      <c r="BC28" s="1072" t="s">
        <v>489</v>
      </c>
      <c r="BD28" s="1072" t="s">
        <v>490</v>
      </c>
      <c r="BE28" s="1072" t="s">
        <v>491</v>
      </c>
      <c r="BF28" s="1073" t="s">
        <v>492</v>
      </c>
      <c r="BG28" s="1072" t="s">
        <v>493</v>
      </c>
      <c r="BH28" s="1072" t="s">
        <v>494</v>
      </c>
      <c r="BI28" s="868"/>
    </row>
    <row r="29" spans="1:65" ht="39.9" customHeight="1" x14ac:dyDescent="0.35">
      <c r="A29" s="757"/>
      <c r="B29" s="1461" t="s">
        <v>448</v>
      </c>
      <c r="C29" s="1462"/>
      <c r="D29" s="1462"/>
      <c r="E29" s="1462"/>
      <c r="F29" s="1462"/>
      <c r="G29" s="1462"/>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759"/>
      <c r="AI29" s="1461" t="s">
        <v>448</v>
      </c>
      <c r="AJ29" s="1462"/>
      <c r="AK29" s="1462"/>
      <c r="AL29" s="1462"/>
      <c r="AM29" s="1462"/>
      <c r="AN29" s="1462"/>
      <c r="AO29" s="1462"/>
      <c r="AP29" s="1462"/>
      <c r="AQ29" s="1462"/>
      <c r="AR29" s="1462"/>
      <c r="AS29" s="1462"/>
      <c r="AT29" s="1462"/>
      <c r="AU29" s="1462"/>
      <c r="AV29" s="1462"/>
      <c r="AW29" s="1462"/>
      <c r="AX29" s="1462"/>
      <c r="AY29" s="1462"/>
      <c r="AZ29" s="1462"/>
      <c r="BA29" s="1462"/>
      <c r="BB29" s="1462"/>
      <c r="BC29" s="1462"/>
      <c r="BD29" s="1462"/>
      <c r="BE29" s="1462"/>
      <c r="BF29" s="1462"/>
      <c r="BG29" s="1462"/>
      <c r="BH29" s="1463"/>
      <c r="BI29" s="759"/>
      <c r="BJ29" s="760"/>
      <c r="BK29" s="760"/>
      <c r="BL29" s="760"/>
      <c r="BM29" s="760"/>
    </row>
    <row r="30" spans="1:65" ht="15" customHeight="1" thickBot="1" x14ac:dyDescent="0.4">
      <c r="B30" s="1072" t="s">
        <v>449</v>
      </c>
      <c r="C30" s="1072" t="s">
        <v>450</v>
      </c>
      <c r="D30" s="1072" t="s">
        <v>451</v>
      </c>
      <c r="E30" s="1072" t="s">
        <v>452</v>
      </c>
      <c r="F30" s="1534" t="s">
        <v>453</v>
      </c>
      <c r="G30" s="1535"/>
      <c r="H30" s="1535"/>
      <c r="I30" s="1535"/>
      <c r="J30" s="1535"/>
      <c r="K30" s="1535"/>
      <c r="L30" s="1535"/>
      <c r="M30" s="1535"/>
      <c r="N30" s="1536"/>
      <c r="O30" s="1072" t="s">
        <v>454</v>
      </c>
      <c r="P30" s="1072" t="s">
        <v>455</v>
      </c>
      <c r="Q30" s="1072" t="s">
        <v>456</v>
      </c>
      <c r="R30" s="1072"/>
      <c r="S30" s="1072" t="s">
        <v>457</v>
      </c>
      <c r="T30" s="1072" t="s">
        <v>458</v>
      </c>
      <c r="U30" s="1072" t="s">
        <v>459</v>
      </c>
      <c r="V30" s="1072" t="s">
        <v>460</v>
      </c>
      <c r="W30" s="1072" t="s">
        <v>461</v>
      </c>
      <c r="X30" s="1072" t="s">
        <v>242</v>
      </c>
      <c r="Y30" s="1072" t="s">
        <v>462</v>
      </c>
      <c r="Z30" s="1072" t="s">
        <v>463</v>
      </c>
      <c r="AA30" s="1072" t="s">
        <v>464</v>
      </c>
      <c r="AB30" s="1072" t="s">
        <v>465</v>
      </c>
      <c r="AC30" s="1072" t="s">
        <v>466</v>
      </c>
      <c r="AD30" s="1072" t="s">
        <v>467</v>
      </c>
      <c r="AE30" s="1072" t="s">
        <v>468</v>
      </c>
      <c r="AF30" s="1072" t="s">
        <v>469</v>
      </c>
      <c r="AG30" s="1140"/>
      <c r="AH30" s="1141"/>
      <c r="AI30" s="1072" t="s">
        <v>449</v>
      </c>
      <c r="AJ30" s="1072" t="s">
        <v>450</v>
      </c>
      <c r="AK30" s="1072" t="s">
        <v>471</v>
      </c>
      <c r="AL30" s="1073" t="s">
        <v>472</v>
      </c>
      <c r="AM30" s="1072" t="s">
        <v>473</v>
      </c>
      <c r="AN30" s="1072" t="s">
        <v>474</v>
      </c>
      <c r="AO30" s="1072" t="s">
        <v>475</v>
      </c>
      <c r="AP30" s="1072" t="s">
        <v>476</v>
      </c>
      <c r="AQ30" s="1072" t="s">
        <v>477</v>
      </c>
      <c r="AR30" s="1072" t="s">
        <v>478</v>
      </c>
      <c r="AS30" s="1072" t="s">
        <v>479</v>
      </c>
      <c r="AT30" s="1072" t="s">
        <v>480</v>
      </c>
      <c r="AU30" s="1072" t="s">
        <v>481</v>
      </c>
      <c r="AV30" s="1072" t="s">
        <v>482</v>
      </c>
      <c r="AW30" s="1072" t="s">
        <v>483</v>
      </c>
      <c r="AX30" s="1072" t="s">
        <v>484</v>
      </c>
      <c r="AY30" s="1072" t="s">
        <v>485</v>
      </c>
      <c r="AZ30" s="1072" t="s">
        <v>486</v>
      </c>
      <c r="BA30" s="1072" t="s">
        <v>487</v>
      </c>
      <c r="BB30" s="1072" t="s">
        <v>488</v>
      </c>
      <c r="BC30" s="1072" t="s">
        <v>489</v>
      </c>
      <c r="BD30" s="1072" t="s">
        <v>490</v>
      </c>
      <c r="BE30" s="1072" t="s">
        <v>491</v>
      </c>
      <c r="BF30" s="1073" t="s">
        <v>492</v>
      </c>
      <c r="BG30" s="1072" t="s">
        <v>493</v>
      </c>
      <c r="BH30" s="1072" t="s">
        <v>494</v>
      </c>
      <c r="BI30" s="758"/>
    </row>
    <row r="31" spans="1:65" ht="99.9" customHeight="1" x14ac:dyDescent="0.35">
      <c r="B31" s="1408" t="s">
        <v>2231</v>
      </c>
      <c r="C31" s="874"/>
      <c r="D31" s="1285" t="s">
        <v>495</v>
      </c>
      <c r="E31" s="1402" t="s">
        <v>496</v>
      </c>
      <c r="F31" s="1403" t="s">
        <v>219</v>
      </c>
      <c r="G31" s="1403"/>
      <c r="H31" s="1403"/>
      <c r="I31" s="1403"/>
      <c r="J31" s="1403"/>
      <c r="K31" s="1403"/>
      <c r="L31" s="1403"/>
      <c r="M31" s="1403"/>
      <c r="N31" s="1403"/>
      <c r="O31" s="1285" t="s">
        <v>214</v>
      </c>
      <c r="P31" s="1404" t="s">
        <v>497</v>
      </c>
      <c r="Q31" s="1285" t="s">
        <v>498</v>
      </c>
      <c r="R31" s="1491" t="s">
        <v>2190</v>
      </c>
      <c r="S31" s="1318" t="s">
        <v>499</v>
      </c>
      <c r="T31" s="1287" t="s">
        <v>501</v>
      </c>
      <c r="U31" s="1319" t="s">
        <v>2</v>
      </c>
      <c r="V31" s="1318" t="s">
        <v>500</v>
      </c>
      <c r="W31" s="1537" t="s">
        <v>856</v>
      </c>
      <c r="X31" s="1538" t="s">
        <v>503</v>
      </c>
      <c r="Y31" s="1285" t="s">
        <v>504</v>
      </c>
      <c r="Z31" s="1287" t="s">
        <v>505</v>
      </c>
      <c r="AA31" s="1537" t="s">
        <v>506</v>
      </c>
      <c r="AB31" s="1538" t="s">
        <v>1575</v>
      </c>
      <c r="AC31" s="1285" t="s">
        <v>504</v>
      </c>
      <c r="AD31" s="1287" t="s">
        <v>505</v>
      </c>
      <c r="AE31" s="1530" t="s">
        <v>508</v>
      </c>
      <c r="AF31" s="1482" t="s">
        <v>509</v>
      </c>
      <c r="AI31" s="1298" t="s">
        <v>2231</v>
      </c>
      <c r="AJ31" s="1206"/>
      <c r="AK31" s="879" t="s">
        <v>2234</v>
      </c>
      <c r="AL31" s="877" t="s">
        <v>2235</v>
      </c>
      <c r="AM31" s="877" t="s">
        <v>2236</v>
      </c>
      <c r="AN31" s="877" t="s">
        <v>2237</v>
      </c>
      <c r="AO31" s="877" t="s">
        <v>2238</v>
      </c>
      <c r="AP31" s="877" t="s">
        <v>2239</v>
      </c>
      <c r="AQ31" s="878" t="s">
        <v>2240</v>
      </c>
      <c r="AR31" s="879" t="s">
        <v>2241</v>
      </c>
      <c r="AS31" s="877" t="s">
        <v>2242</v>
      </c>
      <c r="AT31" s="877" t="s">
        <v>2243</v>
      </c>
      <c r="AU31" s="877" t="s">
        <v>2244</v>
      </c>
      <c r="AV31" s="877" t="s">
        <v>2245</v>
      </c>
      <c r="AW31" s="877" t="s">
        <v>2246</v>
      </c>
      <c r="AX31" s="877" t="s">
        <v>2247</v>
      </c>
      <c r="AY31" s="877" t="s">
        <v>2248</v>
      </c>
      <c r="AZ31" s="877" t="s">
        <v>2249</v>
      </c>
      <c r="BA31" s="877" t="s">
        <v>2250</v>
      </c>
      <c r="BB31" s="877" t="s">
        <v>2251</v>
      </c>
      <c r="BC31" s="877" t="s">
        <v>2252</v>
      </c>
      <c r="BD31" s="877" t="s">
        <v>2253</v>
      </c>
      <c r="BE31" s="878" t="s">
        <v>2254</v>
      </c>
      <c r="BF31" s="879" t="s">
        <v>2255</v>
      </c>
      <c r="BG31" s="1436" t="s">
        <v>41</v>
      </c>
      <c r="BH31" s="1437" t="s">
        <v>42</v>
      </c>
      <c r="BI31" s="758"/>
      <c r="BJ31" s="777"/>
      <c r="BK31" s="778"/>
      <c r="BL31" s="778"/>
    </row>
    <row r="32" spans="1:65" s="793" customFormat="1" ht="50.15" customHeight="1" x14ac:dyDescent="0.35">
      <c r="A32" s="880"/>
      <c r="B32" s="1393"/>
      <c r="C32" s="780" t="s">
        <v>1753</v>
      </c>
      <c r="D32" s="1286"/>
      <c r="E32" s="1395"/>
      <c r="F32" s="333" t="s">
        <v>512</v>
      </c>
      <c r="G32" s="333" t="s">
        <v>513</v>
      </c>
      <c r="H32" s="333" t="s">
        <v>514</v>
      </c>
      <c r="I32" s="333" t="s">
        <v>515</v>
      </c>
      <c r="J32" s="333" t="s">
        <v>516</v>
      </c>
      <c r="K32" s="333" t="s">
        <v>517</v>
      </c>
      <c r="L32" s="333" t="s">
        <v>518</v>
      </c>
      <c r="M32" s="333" t="s">
        <v>519</v>
      </c>
      <c r="N32" s="333" t="s">
        <v>520</v>
      </c>
      <c r="O32" s="1397"/>
      <c r="P32" s="1401"/>
      <c r="Q32" s="1286"/>
      <c r="R32" s="1322"/>
      <c r="S32" s="1241"/>
      <c r="T32" s="1288"/>
      <c r="U32" s="1320"/>
      <c r="V32" s="1241"/>
      <c r="W32" s="1529"/>
      <c r="X32" s="1539"/>
      <c r="Y32" s="1286"/>
      <c r="Z32" s="1288"/>
      <c r="AA32" s="1529"/>
      <c r="AB32" s="1539"/>
      <c r="AC32" s="1286"/>
      <c r="AD32" s="1288"/>
      <c r="AE32" s="1249"/>
      <c r="AF32" s="1483"/>
      <c r="AG32" s="880"/>
      <c r="AH32" s="880"/>
      <c r="AI32" s="1299"/>
      <c r="AJ32" s="1200" t="s">
        <v>1753</v>
      </c>
      <c r="AK32" s="790">
        <v>8500</v>
      </c>
      <c r="AL32" s="785">
        <v>1500</v>
      </c>
      <c r="AM32" s="785">
        <v>2600</v>
      </c>
      <c r="AN32" s="786">
        <v>750</v>
      </c>
      <c r="AO32" s="786" t="s">
        <v>48</v>
      </c>
      <c r="AP32" s="785">
        <v>2100</v>
      </c>
      <c r="AQ32" s="787">
        <v>1050</v>
      </c>
      <c r="AR32" s="788">
        <v>550</v>
      </c>
      <c r="AS32" s="786">
        <v>70</v>
      </c>
      <c r="AT32" s="786">
        <v>30</v>
      </c>
      <c r="AU32" s="786">
        <v>35</v>
      </c>
      <c r="AV32" s="786">
        <v>35</v>
      </c>
      <c r="AW32" s="786">
        <v>20</v>
      </c>
      <c r="AX32" s="786">
        <v>16</v>
      </c>
      <c r="AY32" s="786">
        <v>15</v>
      </c>
      <c r="AZ32" s="786">
        <v>13</v>
      </c>
      <c r="BA32" s="786">
        <v>10</v>
      </c>
      <c r="BB32" s="786">
        <v>10</v>
      </c>
      <c r="BC32" s="786">
        <v>10</v>
      </c>
      <c r="BD32" s="786">
        <v>10</v>
      </c>
      <c r="BE32" s="789">
        <v>10</v>
      </c>
      <c r="BF32" s="790">
        <v>2120</v>
      </c>
      <c r="BG32" s="1399"/>
      <c r="BH32" s="1383"/>
      <c r="BI32" s="880"/>
      <c r="BJ32" s="791"/>
      <c r="BK32" s="792"/>
      <c r="BL32" s="792"/>
    </row>
    <row r="33" spans="1:64" ht="17.25" customHeight="1" x14ac:dyDescent="0.35">
      <c r="B33" s="795"/>
      <c r="C33" s="796" t="s">
        <v>1795</v>
      </c>
      <c r="D33" s="302"/>
      <c r="E33" s="303"/>
      <c r="F33" s="303"/>
      <c r="G33" s="303"/>
      <c r="H33" s="303"/>
      <c r="I33" s="303"/>
      <c r="J33" s="303"/>
      <c r="K33" s="303"/>
      <c r="L33" s="303"/>
      <c r="M33" s="303"/>
      <c r="N33" s="307"/>
      <c r="O33" s="303"/>
      <c r="P33" s="302"/>
      <c r="Q33" s="305"/>
      <c r="R33" s="305"/>
      <c r="S33" s="306"/>
      <c r="T33" s="560"/>
      <c r="U33" s="305"/>
      <c r="V33" s="305"/>
      <c r="W33" s="506"/>
      <c r="X33" s="584"/>
      <c r="Y33" s="307"/>
      <c r="Z33" s="560"/>
      <c r="AA33" s="506"/>
      <c r="AB33" s="584"/>
      <c r="AC33" s="307"/>
      <c r="AD33" s="560"/>
      <c r="AE33" s="305"/>
      <c r="AF33" s="1075"/>
      <c r="AI33" s="800"/>
      <c r="AJ33" s="1201" t="s">
        <v>1795</v>
      </c>
      <c r="AK33" s="805"/>
      <c r="AL33" s="803"/>
      <c r="AM33" s="804"/>
      <c r="AN33" s="803"/>
      <c r="AO33" s="803"/>
      <c r="AP33" s="803"/>
      <c r="AQ33" s="804"/>
      <c r="AR33" s="805"/>
      <c r="AS33" s="803"/>
      <c r="AT33" s="803"/>
      <c r="AU33" s="803"/>
      <c r="AV33" s="803"/>
      <c r="AW33" s="803"/>
      <c r="AX33" s="803"/>
      <c r="AY33" s="803"/>
      <c r="AZ33" s="803"/>
      <c r="BA33" s="803"/>
      <c r="BB33" s="803"/>
      <c r="BC33" s="803"/>
      <c r="BD33" s="803"/>
      <c r="BE33" s="804"/>
      <c r="BF33" s="805"/>
      <c r="BG33" s="302"/>
      <c r="BH33" s="570"/>
      <c r="BI33" s="758"/>
      <c r="BJ33" s="823"/>
      <c r="BK33" s="807"/>
      <c r="BL33" s="807"/>
    </row>
    <row r="34" spans="1:64" ht="125.15" customHeight="1" x14ac:dyDescent="0.35">
      <c r="A34" s="1459">
        <v>9</v>
      </c>
      <c r="B34" s="1358" t="s">
        <v>2309</v>
      </c>
      <c r="C34" s="1281" t="s">
        <v>1796</v>
      </c>
      <c r="D34" s="1281" t="s">
        <v>1759</v>
      </c>
      <c r="E34" s="1470"/>
      <c r="F34" s="1081"/>
      <c r="G34" s="826"/>
      <c r="H34" s="826"/>
      <c r="I34" s="826"/>
      <c r="J34" s="827"/>
      <c r="K34" s="826"/>
      <c r="L34" s="826"/>
      <c r="M34" s="826"/>
      <c r="N34" s="828"/>
      <c r="O34" s="1281" t="s">
        <v>1760</v>
      </c>
      <c r="P34" s="1281" t="s">
        <v>1778</v>
      </c>
      <c r="Q34" s="330"/>
      <c r="R34" s="330"/>
      <c r="S34" s="1268" t="s">
        <v>1797</v>
      </c>
      <c r="T34" s="1311" t="s">
        <v>1763</v>
      </c>
      <c r="U34" s="329"/>
      <c r="V34" s="1268"/>
      <c r="W34" s="612"/>
      <c r="X34" s="582" t="s">
        <v>1769</v>
      </c>
      <c r="Y34" s="1268" t="s">
        <v>1783</v>
      </c>
      <c r="Z34" s="1311" t="s">
        <v>1763</v>
      </c>
      <c r="AA34" s="612"/>
      <c r="AB34" s="589" t="s">
        <v>1784</v>
      </c>
      <c r="AC34" s="1268"/>
      <c r="AD34" s="1311"/>
      <c r="AE34" s="327"/>
      <c r="AF34" s="1472" t="s">
        <v>1785</v>
      </c>
      <c r="AG34" s="1309">
        <v>9</v>
      </c>
      <c r="AH34" s="1275">
        <v>9</v>
      </c>
      <c r="AI34" s="1271"/>
      <c r="AJ34" s="1480" t="s">
        <v>1796</v>
      </c>
      <c r="AK34" s="618"/>
      <c r="AL34" s="1091"/>
      <c r="AM34" s="1099"/>
      <c r="AN34" s="1099"/>
      <c r="AO34" s="493"/>
      <c r="AP34" s="1099"/>
      <c r="AQ34" s="1099"/>
      <c r="AR34" s="597"/>
      <c r="AS34" s="493"/>
      <c r="AT34" s="493"/>
      <c r="AU34" s="493"/>
      <c r="AV34" s="569" t="s">
        <v>1769</v>
      </c>
      <c r="AW34" s="493"/>
      <c r="AX34" s="493"/>
      <c r="AY34" s="493"/>
      <c r="AZ34" s="569" t="s">
        <v>1769</v>
      </c>
      <c r="BA34" s="493"/>
      <c r="BB34" s="493"/>
      <c r="BC34" s="569" t="s">
        <v>1769</v>
      </c>
      <c r="BD34" s="493"/>
      <c r="BE34" s="1099"/>
      <c r="BF34" s="885"/>
      <c r="BG34" s="569" t="s">
        <v>1769</v>
      </c>
      <c r="BH34" s="815"/>
      <c r="BI34" s="1432">
        <v>9</v>
      </c>
      <c r="BJ34" s="823"/>
      <c r="BK34" s="1316"/>
      <c r="BL34" s="1316"/>
    </row>
    <row r="35" spans="1:64" ht="125.15" customHeight="1" x14ac:dyDescent="0.35">
      <c r="A35" s="1460"/>
      <c r="B35" s="1359"/>
      <c r="C35" s="1282"/>
      <c r="D35" s="1282"/>
      <c r="E35" s="1471"/>
      <c r="F35" s="1313" t="s">
        <v>1593</v>
      </c>
      <c r="G35" s="1314"/>
      <c r="H35" s="1314"/>
      <c r="I35" s="1314"/>
      <c r="J35" s="1314"/>
      <c r="K35" s="1314"/>
      <c r="L35" s="1314"/>
      <c r="M35" s="1314"/>
      <c r="N35" s="1315"/>
      <c r="O35" s="1282"/>
      <c r="P35" s="1282"/>
      <c r="Q35" s="456">
        <f>285500+19000+1024000+741750</f>
        <v>2070250</v>
      </c>
      <c r="R35" s="456">
        <v>2564133</v>
      </c>
      <c r="S35" s="1270"/>
      <c r="T35" s="1312"/>
      <c r="U35" s="334"/>
      <c r="V35" s="1270"/>
      <c r="W35" s="613">
        <f>Q35</f>
        <v>2070250</v>
      </c>
      <c r="X35" s="585"/>
      <c r="Y35" s="1270"/>
      <c r="Z35" s="1312"/>
      <c r="AA35" s="613">
        <f>W35</f>
        <v>2070250</v>
      </c>
      <c r="AB35" s="585"/>
      <c r="AC35" s="1270"/>
      <c r="AD35" s="1312"/>
      <c r="AE35" s="486">
        <f>AA35</f>
        <v>2070250</v>
      </c>
      <c r="AF35" s="1473"/>
      <c r="AG35" s="1310"/>
      <c r="AH35" s="1276"/>
      <c r="AI35" s="1272"/>
      <c r="AJ35" s="1481"/>
      <c r="AK35" s="628"/>
      <c r="AL35" s="477"/>
      <c r="AM35" s="488"/>
      <c r="AN35" s="488"/>
      <c r="AO35" s="477"/>
      <c r="AP35" s="488"/>
      <c r="AQ35" s="488"/>
      <c r="AR35" s="628"/>
      <c r="AS35" s="477"/>
      <c r="AT35" s="477"/>
      <c r="AU35" s="477"/>
      <c r="AV35" s="663"/>
      <c r="AW35" s="477"/>
      <c r="AX35" s="477"/>
      <c r="AY35" s="477"/>
      <c r="AZ35" s="663"/>
      <c r="BA35" s="477"/>
      <c r="BB35" s="477"/>
      <c r="BC35" s="663"/>
      <c r="BD35" s="477"/>
      <c r="BE35" s="488"/>
      <c r="BF35" s="902"/>
      <c r="BG35" s="663"/>
      <c r="BH35" s="817"/>
      <c r="BI35" s="1433"/>
      <c r="BJ35" s="823"/>
      <c r="BK35" s="1317"/>
      <c r="BL35" s="1317"/>
    </row>
    <row r="36" spans="1:64" ht="17.25" customHeight="1" x14ac:dyDescent="0.35">
      <c r="A36" s="1204"/>
      <c r="B36" s="795"/>
      <c r="C36" s="796" t="s">
        <v>1798</v>
      </c>
      <c r="D36" s="302"/>
      <c r="E36" s="303"/>
      <c r="F36" s="303"/>
      <c r="G36" s="303"/>
      <c r="H36" s="303"/>
      <c r="I36" s="303"/>
      <c r="J36" s="303"/>
      <c r="K36" s="303"/>
      <c r="L36" s="303"/>
      <c r="M36" s="303"/>
      <c r="N36" s="307"/>
      <c r="O36" s="303"/>
      <c r="P36" s="302"/>
      <c r="Q36" s="305"/>
      <c r="R36" s="305"/>
      <c r="S36" s="306"/>
      <c r="T36" s="560"/>
      <c r="U36" s="305"/>
      <c r="V36" s="305"/>
      <c r="W36" s="506"/>
      <c r="X36" s="584"/>
      <c r="Y36" s="307"/>
      <c r="Z36" s="560"/>
      <c r="AA36" s="506"/>
      <c r="AB36" s="584"/>
      <c r="AC36" s="307"/>
      <c r="AD36" s="560"/>
      <c r="AE36" s="305"/>
      <c r="AF36" s="1075"/>
      <c r="AG36" s="1078"/>
      <c r="AH36" s="1079"/>
      <c r="AI36" s="800"/>
      <c r="AJ36" s="1201" t="s">
        <v>1798</v>
      </c>
      <c r="AK36" s="805"/>
      <c r="AL36" s="803"/>
      <c r="AM36" s="804"/>
      <c r="AN36" s="803"/>
      <c r="AO36" s="803"/>
      <c r="AP36" s="803"/>
      <c r="AQ36" s="804"/>
      <c r="AR36" s="805"/>
      <c r="AS36" s="803"/>
      <c r="AT36" s="803"/>
      <c r="AU36" s="803"/>
      <c r="AV36" s="803"/>
      <c r="AW36" s="803"/>
      <c r="AX36" s="803"/>
      <c r="AY36" s="803"/>
      <c r="AZ36" s="803"/>
      <c r="BA36" s="803"/>
      <c r="BB36" s="803"/>
      <c r="BC36" s="803"/>
      <c r="BD36" s="803"/>
      <c r="BE36" s="804"/>
      <c r="BF36" s="805"/>
      <c r="BG36" s="302"/>
      <c r="BH36" s="570"/>
      <c r="BI36" s="1080"/>
      <c r="BJ36" s="823"/>
      <c r="BK36" s="807"/>
      <c r="BL36" s="807"/>
    </row>
    <row r="37" spans="1:64" ht="125.15" customHeight="1" x14ac:dyDescent="0.35">
      <c r="A37" s="1459">
        <v>10</v>
      </c>
      <c r="B37" s="1358" t="s">
        <v>2310</v>
      </c>
      <c r="C37" s="1281" t="s">
        <v>1799</v>
      </c>
      <c r="D37" s="1281" t="s">
        <v>1759</v>
      </c>
      <c r="E37" s="1470"/>
      <c r="F37" s="1081"/>
      <c r="G37" s="826"/>
      <c r="H37" s="826"/>
      <c r="I37" s="826"/>
      <c r="J37" s="827"/>
      <c r="K37" s="826"/>
      <c r="L37" s="826"/>
      <c r="M37" s="826"/>
      <c r="N37" s="828"/>
      <c r="O37" s="1281" t="s">
        <v>1760</v>
      </c>
      <c r="P37" s="1281" t="s">
        <v>1778</v>
      </c>
      <c r="Q37" s="330"/>
      <c r="R37" s="330"/>
      <c r="S37" s="1268" t="s">
        <v>1800</v>
      </c>
      <c r="T37" s="1311" t="s">
        <v>1763</v>
      </c>
      <c r="U37" s="329"/>
      <c r="V37" s="1268"/>
      <c r="W37" s="612"/>
      <c r="X37" s="582" t="s">
        <v>1769</v>
      </c>
      <c r="Y37" s="1268" t="s">
        <v>1783</v>
      </c>
      <c r="Z37" s="1311" t="s">
        <v>1763</v>
      </c>
      <c r="AA37" s="612"/>
      <c r="AB37" s="589" t="s">
        <v>1784</v>
      </c>
      <c r="AC37" s="1268"/>
      <c r="AD37" s="1311"/>
      <c r="AE37" s="327"/>
      <c r="AF37" s="1472" t="s">
        <v>1785</v>
      </c>
      <c r="AG37" s="1309">
        <v>10</v>
      </c>
      <c r="AH37" s="1275">
        <v>10</v>
      </c>
      <c r="AI37" s="1271"/>
      <c r="AJ37" s="1480" t="s">
        <v>1799</v>
      </c>
      <c r="AK37" s="618"/>
      <c r="AL37" s="1091"/>
      <c r="AM37" s="489"/>
      <c r="AN37" s="489"/>
      <c r="AO37" s="329"/>
      <c r="AP37" s="489"/>
      <c r="AQ37" s="489"/>
      <c r="AR37" s="618"/>
      <c r="AS37" s="329"/>
      <c r="AT37" s="569" t="s">
        <v>1769</v>
      </c>
      <c r="AU37" s="329"/>
      <c r="AV37" s="329"/>
      <c r="AW37" s="569" t="s">
        <v>1769</v>
      </c>
      <c r="AX37" s="329"/>
      <c r="AY37" s="329"/>
      <c r="AZ37" s="329"/>
      <c r="BA37" s="329"/>
      <c r="BB37" s="329"/>
      <c r="BC37" s="329"/>
      <c r="BD37" s="329"/>
      <c r="BE37" s="489"/>
      <c r="BF37" s="885"/>
      <c r="BG37" s="569" t="s">
        <v>1769</v>
      </c>
      <c r="BH37" s="815"/>
      <c r="BI37" s="1432">
        <v>10</v>
      </c>
      <c r="BJ37" s="823"/>
      <c r="BK37" s="1316"/>
      <c r="BL37" s="1316"/>
    </row>
    <row r="38" spans="1:64" ht="125.15" customHeight="1" x14ac:dyDescent="0.35">
      <c r="A38" s="1460"/>
      <c r="B38" s="1359"/>
      <c r="C38" s="1282"/>
      <c r="D38" s="1282"/>
      <c r="E38" s="1471"/>
      <c r="F38" s="1313" t="s">
        <v>1593</v>
      </c>
      <c r="G38" s="1314"/>
      <c r="H38" s="1314"/>
      <c r="I38" s="1314"/>
      <c r="J38" s="1314"/>
      <c r="K38" s="1314"/>
      <c r="L38" s="1314"/>
      <c r="M38" s="1314"/>
      <c r="N38" s="1315"/>
      <c r="O38" s="1282"/>
      <c r="P38" s="1282"/>
      <c r="Q38" s="456">
        <f>245000+165000+645000</f>
        <v>1055000</v>
      </c>
      <c r="R38" s="456">
        <v>1306683</v>
      </c>
      <c r="S38" s="1270"/>
      <c r="T38" s="1312"/>
      <c r="U38" s="334"/>
      <c r="V38" s="1270"/>
      <c r="W38" s="613">
        <f>Q38</f>
        <v>1055000</v>
      </c>
      <c r="X38" s="585"/>
      <c r="Y38" s="1270"/>
      <c r="Z38" s="1312"/>
      <c r="AA38" s="613">
        <f>W38</f>
        <v>1055000</v>
      </c>
      <c r="AB38" s="585"/>
      <c r="AC38" s="1270"/>
      <c r="AD38" s="1312"/>
      <c r="AE38" s="486">
        <f>AA38</f>
        <v>1055000</v>
      </c>
      <c r="AF38" s="1473"/>
      <c r="AG38" s="1310"/>
      <c r="AH38" s="1276"/>
      <c r="AI38" s="1272"/>
      <c r="AJ38" s="1481"/>
      <c r="AK38" s="628"/>
      <c r="AL38" s="477"/>
      <c r="AM38" s="488"/>
      <c r="AN38" s="488"/>
      <c r="AO38" s="477"/>
      <c r="AP38" s="488"/>
      <c r="AQ38" s="488"/>
      <c r="AR38" s="628"/>
      <c r="AS38" s="477"/>
      <c r="AT38" s="564"/>
      <c r="AU38" s="477"/>
      <c r="AV38" s="477"/>
      <c r="AW38" s="564"/>
      <c r="AX38" s="477"/>
      <c r="AY38" s="477"/>
      <c r="AZ38" s="477"/>
      <c r="BA38" s="477"/>
      <c r="BB38" s="477"/>
      <c r="BC38" s="477"/>
      <c r="BD38" s="477"/>
      <c r="BE38" s="488"/>
      <c r="BF38" s="901"/>
      <c r="BG38" s="564"/>
      <c r="BH38" s="1148"/>
      <c r="BI38" s="1433"/>
      <c r="BJ38" s="823"/>
      <c r="BK38" s="1317"/>
      <c r="BL38" s="1317"/>
    </row>
    <row r="39" spans="1:64" ht="17.25" customHeight="1" x14ac:dyDescent="0.35">
      <c r="A39" s="1204"/>
      <c r="B39" s="795"/>
      <c r="C39" s="796" t="s">
        <v>1801</v>
      </c>
      <c r="D39" s="302"/>
      <c r="E39" s="303"/>
      <c r="F39" s="303"/>
      <c r="G39" s="303"/>
      <c r="H39" s="303"/>
      <c r="I39" s="303"/>
      <c r="J39" s="303"/>
      <c r="K39" s="303"/>
      <c r="L39" s="303"/>
      <c r="M39" s="303"/>
      <c r="N39" s="307"/>
      <c r="O39" s="303"/>
      <c r="P39" s="302"/>
      <c r="Q39" s="305"/>
      <c r="R39" s="305"/>
      <c r="S39" s="306"/>
      <c r="T39" s="560"/>
      <c r="U39" s="305"/>
      <c r="V39" s="305"/>
      <c r="W39" s="506"/>
      <c r="X39" s="584"/>
      <c r="Y39" s="307"/>
      <c r="Z39" s="560"/>
      <c r="AA39" s="506"/>
      <c r="AB39" s="584"/>
      <c r="AC39" s="307"/>
      <c r="AD39" s="560"/>
      <c r="AE39" s="305"/>
      <c r="AF39" s="1075"/>
      <c r="AG39" s="1078"/>
      <c r="AH39" s="1079"/>
      <c r="AI39" s="800"/>
      <c r="AJ39" s="1201" t="s">
        <v>1801</v>
      </c>
      <c r="AK39" s="805"/>
      <c r="AL39" s="803"/>
      <c r="AM39" s="804"/>
      <c r="AN39" s="803"/>
      <c r="AO39" s="803"/>
      <c r="AP39" s="803"/>
      <c r="AQ39" s="804"/>
      <c r="AR39" s="805"/>
      <c r="AS39" s="803"/>
      <c r="AT39" s="803"/>
      <c r="AU39" s="803"/>
      <c r="AV39" s="803"/>
      <c r="AW39" s="803"/>
      <c r="AX39" s="803"/>
      <c r="AY39" s="803"/>
      <c r="AZ39" s="803"/>
      <c r="BA39" s="803"/>
      <c r="BB39" s="803"/>
      <c r="BC39" s="803"/>
      <c r="BD39" s="803"/>
      <c r="BE39" s="804"/>
      <c r="BF39" s="805"/>
      <c r="BG39" s="302"/>
      <c r="BH39" s="570"/>
      <c r="BI39" s="1080"/>
      <c r="BJ39" s="823"/>
      <c r="BK39" s="807"/>
      <c r="BL39" s="807"/>
    </row>
    <row r="40" spans="1:64" ht="125.15" customHeight="1" x14ac:dyDescent="0.35">
      <c r="A40" s="1459">
        <v>11</v>
      </c>
      <c r="B40" s="1358" t="s">
        <v>2311</v>
      </c>
      <c r="C40" s="1281" t="s">
        <v>1802</v>
      </c>
      <c r="D40" s="1281" t="s">
        <v>1759</v>
      </c>
      <c r="E40" s="1470"/>
      <c r="F40" s="1081"/>
      <c r="G40" s="826"/>
      <c r="H40" s="826"/>
      <c r="I40" s="826"/>
      <c r="J40" s="827"/>
      <c r="K40" s="826"/>
      <c r="L40" s="826"/>
      <c r="M40" s="826"/>
      <c r="N40" s="828"/>
      <c r="O40" s="1281" t="s">
        <v>1760</v>
      </c>
      <c r="P40" s="1281" t="s">
        <v>1778</v>
      </c>
      <c r="Q40" s="330"/>
      <c r="R40" s="330"/>
      <c r="S40" s="1268" t="s">
        <v>1803</v>
      </c>
      <c r="T40" s="1311" t="s">
        <v>1763</v>
      </c>
      <c r="U40" s="329"/>
      <c r="V40" s="1268"/>
      <c r="W40" s="612"/>
      <c r="X40" s="582" t="s">
        <v>1769</v>
      </c>
      <c r="Y40" s="1268" t="s">
        <v>1783</v>
      </c>
      <c r="Z40" s="1311" t="s">
        <v>1763</v>
      </c>
      <c r="AA40" s="612"/>
      <c r="AB40" s="589" t="s">
        <v>1784</v>
      </c>
      <c r="AC40" s="1268"/>
      <c r="AD40" s="1311"/>
      <c r="AE40" s="327"/>
      <c r="AF40" s="1472" t="s">
        <v>1785</v>
      </c>
      <c r="AG40" s="1309">
        <v>11</v>
      </c>
      <c r="AH40" s="1275">
        <v>11</v>
      </c>
      <c r="AI40" s="1271"/>
      <c r="AJ40" s="1480" t="s">
        <v>1802</v>
      </c>
      <c r="AK40" s="618"/>
      <c r="AL40" s="1091"/>
      <c r="AM40" s="489"/>
      <c r="AN40" s="489"/>
      <c r="AO40" s="329"/>
      <c r="AP40" s="489"/>
      <c r="AQ40" s="489"/>
      <c r="AR40" s="618"/>
      <c r="AS40" s="329"/>
      <c r="AT40" s="329"/>
      <c r="AU40" s="329"/>
      <c r="AV40" s="329"/>
      <c r="AW40" s="569" t="s">
        <v>1769</v>
      </c>
      <c r="AX40" s="329"/>
      <c r="AY40" s="329"/>
      <c r="AZ40" s="329"/>
      <c r="BA40" s="329"/>
      <c r="BB40" s="329"/>
      <c r="BC40" s="329"/>
      <c r="BD40" s="329"/>
      <c r="BE40" s="489"/>
      <c r="BF40" s="885"/>
      <c r="BG40" s="569" t="s">
        <v>1769</v>
      </c>
      <c r="BH40" s="815"/>
      <c r="BI40" s="1432">
        <v>11</v>
      </c>
      <c r="BJ40" s="823"/>
      <c r="BK40" s="1316"/>
      <c r="BL40" s="1316"/>
    </row>
    <row r="41" spans="1:64" ht="125.15" customHeight="1" x14ac:dyDescent="0.35">
      <c r="A41" s="1460"/>
      <c r="B41" s="1359"/>
      <c r="C41" s="1282"/>
      <c r="D41" s="1282"/>
      <c r="E41" s="1471"/>
      <c r="F41" s="1313" t="s">
        <v>1593</v>
      </c>
      <c r="G41" s="1314"/>
      <c r="H41" s="1314"/>
      <c r="I41" s="1314"/>
      <c r="J41" s="1314"/>
      <c r="K41" s="1314"/>
      <c r="L41" s="1314"/>
      <c r="M41" s="1314"/>
      <c r="N41" s="1315"/>
      <c r="O41" s="1282"/>
      <c r="P41" s="1282"/>
      <c r="Q41" s="456">
        <f>122500+245000</f>
        <v>367500</v>
      </c>
      <c r="R41" s="456">
        <v>455172</v>
      </c>
      <c r="S41" s="1270"/>
      <c r="T41" s="1312"/>
      <c r="U41" s="334"/>
      <c r="V41" s="1270"/>
      <c r="W41" s="613">
        <f>Q41</f>
        <v>367500</v>
      </c>
      <c r="X41" s="585"/>
      <c r="Y41" s="1270"/>
      <c r="Z41" s="1312"/>
      <c r="AA41" s="613">
        <f>W41</f>
        <v>367500</v>
      </c>
      <c r="AB41" s="585"/>
      <c r="AC41" s="1270"/>
      <c r="AD41" s="1312"/>
      <c r="AE41" s="486">
        <f>AA41</f>
        <v>367500</v>
      </c>
      <c r="AF41" s="1473"/>
      <c r="AG41" s="1310"/>
      <c r="AH41" s="1276"/>
      <c r="AI41" s="1272"/>
      <c r="AJ41" s="1481"/>
      <c r="AK41" s="628"/>
      <c r="AL41" s="477"/>
      <c r="AM41" s="488"/>
      <c r="AN41" s="488"/>
      <c r="AO41" s="477"/>
      <c r="AP41" s="488"/>
      <c r="AQ41" s="488"/>
      <c r="AR41" s="628"/>
      <c r="AS41" s="477"/>
      <c r="AT41" s="477"/>
      <c r="AU41" s="477"/>
      <c r="AV41" s="477"/>
      <c r="AW41" s="564"/>
      <c r="AX41" s="477"/>
      <c r="AY41" s="477"/>
      <c r="AZ41" s="477"/>
      <c r="BA41" s="477"/>
      <c r="BB41" s="477"/>
      <c r="BC41" s="477"/>
      <c r="BD41" s="477"/>
      <c r="BE41" s="488"/>
      <c r="BF41" s="901"/>
      <c r="BG41" s="564"/>
      <c r="BH41" s="1148"/>
      <c r="BI41" s="1433"/>
      <c r="BJ41" s="823"/>
      <c r="BK41" s="1317"/>
      <c r="BL41" s="1317"/>
    </row>
    <row r="42" spans="1:64" ht="17.25" customHeight="1" x14ac:dyDescent="0.35">
      <c r="A42" s="1204"/>
      <c r="B42" s="795"/>
      <c r="C42" s="796" t="s">
        <v>1804</v>
      </c>
      <c r="D42" s="302"/>
      <c r="E42" s="303"/>
      <c r="F42" s="303"/>
      <c r="G42" s="303"/>
      <c r="H42" s="303"/>
      <c r="I42" s="303"/>
      <c r="J42" s="303"/>
      <c r="K42" s="303"/>
      <c r="L42" s="303"/>
      <c r="M42" s="303"/>
      <c r="N42" s="307"/>
      <c r="O42" s="303"/>
      <c r="P42" s="302"/>
      <c r="Q42" s="305"/>
      <c r="R42" s="305"/>
      <c r="S42" s="306"/>
      <c r="T42" s="560"/>
      <c r="U42" s="305"/>
      <c r="V42" s="305"/>
      <c r="W42" s="506"/>
      <c r="X42" s="584"/>
      <c r="Y42" s="307"/>
      <c r="Z42" s="560"/>
      <c r="AA42" s="506"/>
      <c r="AB42" s="584"/>
      <c r="AC42" s="307"/>
      <c r="AD42" s="560"/>
      <c r="AE42" s="305"/>
      <c r="AF42" s="1075"/>
      <c r="AG42" s="1078"/>
      <c r="AH42" s="1079"/>
      <c r="AI42" s="800"/>
      <c r="AJ42" s="1201" t="s">
        <v>1804</v>
      </c>
      <c r="AK42" s="805"/>
      <c r="AL42" s="803"/>
      <c r="AM42" s="804"/>
      <c r="AN42" s="803"/>
      <c r="AO42" s="803"/>
      <c r="AP42" s="803"/>
      <c r="AQ42" s="804"/>
      <c r="AR42" s="805"/>
      <c r="AS42" s="803"/>
      <c r="AT42" s="803"/>
      <c r="AU42" s="803"/>
      <c r="AV42" s="803"/>
      <c r="AW42" s="803"/>
      <c r="AX42" s="803"/>
      <c r="AY42" s="803"/>
      <c r="AZ42" s="803"/>
      <c r="BA42" s="803"/>
      <c r="BB42" s="803"/>
      <c r="BC42" s="803"/>
      <c r="BD42" s="803"/>
      <c r="BE42" s="804"/>
      <c r="BF42" s="805"/>
      <c r="BG42" s="302"/>
      <c r="BH42" s="570"/>
      <c r="BI42" s="1080"/>
      <c r="BJ42" s="823"/>
      <c r="BK42" s="807"/>
      <c r="BL42" s="807"/>
    </row>
    <row r="43" spans="1:64" ht="125.15" customHeight="1" x14ac:dyDescent="0.35">
      <c r="A43" s="1459">
        <v>12</v>
      </c>
      <c r="B43" s="1358" t="s">
        <v>2312</v>
      </c>
      <c r="C43" s="1281" t="s">
        <v>1805</v>
      </c>
      <c r="D43" s="1281" t="s">
        <v>1759</v>
      </c>
      <c r="E43" s="1470"/>
      <c r="F43" s="851"/>
      <c r="G43" s="826"/>
      <c r="H43" s="826"/>
      <c r="I43" s="826"/>
      <c r="J43" s="826"/>
      <c r="K43" s="826"/>
      <c r="L43" s="826"/>
      <c r="M43" s="826"/>
      <c r="N43" s="828"/>
      <c r="O43" s="1281" t="s">
        <v>1760</v>
      </c>
      <c r="P43" s="1281" t="s">
        <v>1778</v>
      </c>
      <c r="Q43" s="455"/>
      <c r="R43" s="455"/>
      <c r="S43" s="1268" t="s">
        <v>1806</v>
      </c>
      <c r="T43" s="1311" t="s">
        <v>1763</v>
      </c>
      <c r="U43" s="329"/>
      <c r="V43" s="1268"/>
      <c r="W43" s="612"/>
      <c r="X43" s="582" t="s">
        <v>1769</v>
      </c>
      <c r="Y43" s="1268" t="s">
        <v>1783</v>
      </c>
      <c r="Z43" s="1311" t="s">
        <v>1763</v>
      </c>
      <c r="AA43" s="612"/>
      <c r="AB43" s="589" t="s">
        <v>1784</v>
      </c>
      <c r="AC43" s="1268"/>
      <c r="AD43" s="1311"/>
      <c r="AE43" s="327"/>
      <c r="AF43" s="1472" t="s">
        <v>1785</v>
      </c>
      <c r="AG43" s="1309">
        <v>12</v>
      </c>
      <c r="AH43" s="1275">
        <v>12</v>
      </c>
      <c r="AI43" s="1271"/>
      <c r="AJ43" s="1480" t="s">
        <v>1805</v>
      </c>
      <c r="AK43" s="618"/>
      <c r="AL43" s="329"/>
      <c r="AM43" s="329"/>
      <c r="AN43" s="329"/>
      <c r="AO43" s="1087"/>
      <c r="AP43" s="329"/>
      <c r="AQ43" s="489"/>
      <c r="AR43" s="618"/>
      <c r="AS43" s="752"/>
      <c r="AT43" s="752"/>
      <c r="AU43" s="752"/>
      <c r="AV43" s="752"/>
      <c r="AW43" s="752"/>
      <c r="AX43" s="752"/>
      <c r="AY43" s="752"/>
      <c r="AZ43" s="752"/>
      <c r="BA43" s="752"/>
      <c r="BB43" s="752"/>
      <c r="BC43" s="752"/>
      <c r="BD43" s="752"/>
      <c r="BE43" s="884"/>
      <c r="BF43" s="885"/>
      <c r="BG43" s="569" t="s">
        <v>1769</v>
      </c>
      <c r="BH43" s="815"/>
      <c r="BI43" s="1432">
        <v>12</v>
      </c>
      <c r="BJ43" s="823"/>
      <c r="BK43" s="1316"/>
      <c r="BL43" s="1316"/>
    </row>
    <row r="44" spans="1:64" ht="125.15" customHeight="1" x14ac:dyDescent="0.35">
      <c r="A44" s="1460"/>
      <c r="B44" s="1359"/>
      <c r="C44" s="1282"/>
      <c r="D44" s="1282"/>
      <c r="E44" s="1471"/>
      <c r="F44" s="1313" t="s">
        <v>1593</v>
      </c>
      <c r="G44" s="1314"/>
      <c r="H44" s="1314"/>
      <c r="I44" s="1314"/>
      <c r="J44" s="1314"/>
      <c r="K44" s="1314"/>
      <c r="L44" s="1314"/>
      <c r="M44" s="1314"/>
      <c r="N44" s="1315"/>
      <c r="O44" s="1282"/>
      <c r="P44" s="1282"/>
      <c r="Q44" s="456">
        <f>730500</f>
        <v>730500</v>
      </c>
      <c r="R44" s="456">
        <v>904770</v>
      </c>
      <c r="S44" s="1270"/>
      <c r="T44" s="1312"/>
      <c r="U44" s="328"/>
      <c r="V44" s="1270"/>
      <c r="W44" s="613">
        <f>Q44</f>
        <v>730500</v>
      </c>
      <c r="X44" s="585"/>
      <c r="Y44" s="1270"/>
      <c r="Z44" s="1312"/>
      <c r="AA44" s="613">
        <f>W44</f>
        <v>730500</v>
      </c>
      <c r="AB44" s="585"/>
      <c r="AC44" s="1270"/>
      <c r="AD44" s="1312"/>
      <c r="AE44" s="486">
        <f>AA44</f>
        <v>730500</v>
      </c>
      <c r="AF44" s="1473"/>
      <c r="AG44" s="1310"/>
      <c r="AH44" s="1276"/>
      <c r="AI44" s="1272"/>
      <c r="AJ44" s="1481"/>
      <c r="AK44" s="628"/>
      <c r="AL44" s="477"/>
      <c r="AM44" s="477"/>
      <c r="AN44" s="477"/>
      <c r="AO44" s="1089"/>
      <c r="AP44" s="488"/>
      <c r="AQ44" s="488"/>
      <c r="AR44" s="628"/>
      <c r="AS44" s="899"/>
      <c r="AT44" s="899"/>
      <c r="AU44" s="899"/>
      <c r="AV44" s="899"/>
      <c r="AW44" s="899"/>
      <c r="AX44" s="899"/>
      <c r="AY44" s="899"/>
      <c r="AZ44" s="899"/>
      <c r="BA44" s="899"/>
      <c r="BB44" s="899"/>
      <c r="BC44" s="899"/>
      <c r="BD44" s="899"/>
      <c r="BE44" s="900"/>
      <c r="BF44" s="901"/>
      <c r="BG44" s="564"/>
      <c r="BH44" s="1148"/>
      <c r="BI44" s="1433"/>
      <c r="BJ44" s="823"/>
      <c r="BK44" s="1317"/>
      <c r="BL44" s="1317"/>
    </row>
    <row r="45" spans="1:64" ht="17.25" customHeight="1" x14ac:dyDescent="0.35">
      <c r="A45" s="1204"/>
      <c r="B45" s="795"/>
      <c r="C45" s="796" t="s">
        <v>1807</v>
      </c>
      <c r="D45" s="302"/>
      <c r="E45" s="303"/>
      <c r="F45" s="303"/>
      <c r="G45" s="303"/>
      <c r="H45" s="303"/>
      <c r="I45" s="303"/>
      <c r="J45" s="303"/>
      <c r="K45" s="303"/>
      <c r="L45" s="303"/>
      <c r="M45" s="303"/>
      <c r="N45" s="307"/>
      <c r="O45" s="303"/>
      <c r="P45" s="302"/>
      <c r="Q45" s="305"/>
      <c r="R45" s="305"/>
      <c r="S45" s="306"/>
      <c r="T45" s="560"/>
      <c r="U45" s="305"/>
      <c r="V45" s="305"/>
      <c r="W45" s="506"/>
      <c r="X45" s="584"/>
      <c r="Y45" s="307"/>
      <c r="Z45" s="560"/>
      <c r="AA45" s="506"/>
      <c r="AB45" s="584"/>
      <c r="AC45" s="307"/>
      <c r="AD45" s="560"/>
      <c r="AE45" s="305"/>
      <c r="AF45" s="1075"/>
      <c r="AG45" s="1078"/>
      <c r="AH45" s="1079"/>
      <c r="AI45" s="800"/>
      <c r="AJ45" s="1201" t="s">
        <v>1807</v>
      </c>
      <c r="AK45" s="805"/>
      <c r="AL45" s="803"/>
      <c r="AM45" s="804"/>
      <c r="AN45" s="803"/>
      <c r="AO45" s="803"/>
      <c r="AP45" s="803"/>
      <c r="AQ45" s="804"/>
      <c r="AR45" s="805"/>
      <c r="AS45" s="803"/>
      <c r="AT45" s="803"/>
      <c r="AU45" s="803"/>
      <c r="AV45" s="803"/>
      <c r="AW45" s="803"/>
      <c r="AX45" s="803"/>
      <c r="AY45" s="803"/>
      <c r="AZ45" s="803"/>
      <c r="BA45" s="803"/>
      <c r="BB45" s="803"/>
      <c r="BC45" s="803"/>
      <c r="BD45" s="803"/>
      <c r="BE45" s="804"/>
      <c r="BF45" s="805"/>
      <c r="BG45" s="302"/>
      <c r="BH45" s="570"/>
      <c r="BI45" s="1080"/>
      <c r="BJ45" s="823"/>
      <c r="BK45" s="807"/>
      <c r="BL45" s="807"/>
    </row>
    <row r="46" spans="1:64" ht="125.15" customHeight="1" x14ac:dyDescent="0.35">
      <c r="A46" s="1459">
        <v>13</v>
      </c>
      <c r="B46" s="1358" t="s">
        <v>2313</v>
      </c>
      <c r="C46" s="1281" t="s">
        <v>1808</v>
      </c>
      <c r="D46" s="1281" t="s">
        <v>1759</v>
      </c>
      <c r="E46" s="1470"/>
      <c r="F46" s="851"/>
      <c r="G46" s="826"/>
      <c r="H46" s="826"/>
      <c r="I46" s="826"/>
      <c r="J46" s="826"/>
      <c r="K46" s="826"/>
      <c r="L46" s="826"/>
      <c r="M46" s="826"/>
      <c r="N46" s="828"/>
      <c r="O46" s="1281" t="s">
        <v>1760</v>
      </c>
      <c r="P46" s="1281" t="s">
        <v>1778</v>
      </c>
      <c r="Q46" s="455"/>
      <c r="R46" s="455"/>
      <c r="S46" s="1268" t="s">
        <v>1809</v>
      </c>
      <c r="T46" s="1311" t="s">
        <v>1763</v>
      </c>
      <c r="U46" s="329"/>
      <c r="V46" s="1268"/>
      <c r="W46" s="612"/>
      <c r="X46" s="582" t="s">
        <v>1769</v>
      </c>
      <c r="Y46" s="1268" t="s">
        <v>1783</v>
      </c>
      <c r="Z46" s="1311" t="s">
        <v>1763</v>
      </c>
      <c r="AA46" s="612"/>
      <c r="AB46" s="589" t="s">
        <v>1784</v>
      </c>
      <c r="AC46" s="1268"/>
      <c r="AD46" s="1311"/>
      <c r="AE46" s="327"/>
      <c r="AF46" s="1472" t="s">
        <v>1785</v>
      </c>
      <c r="AG46" s="1309">
        <v>13</v>
      </c>
      <c r="AH46" s="1275">
        <v>13</v>
      </c>
      <c r="AI46" s="1271"/>
      <c r="AJ46" s="1480" t="s">
        <v>1808</v>
      </c>
      <c r="AK46" s="618"/>
      <c r="AL46" s="329"/>
      <c r="AM46" s="329"/>
      <c r="AN46" s="329"/>
      <c r="AO46" s="1087"/>
      <c r="AP46" s="329"/>
      <c r="AQ46" s="489"/>
      <c r="AR46" s="618"/>
      <c r="AS46" s="752"/>
      <c r="AT46" s="752"/>
      <c r="AU46" s="752"/>
      <c r="AV46" s="752"/>
      <c r="AW46" s="752"/>
      <c r="AX46" s="752"/>
      <c r="AY46" s="752"/>
      <c r="AZ46" s="752"/>
      <c r="BA46" s="752"/>
      <c r="BB46" s="752"/>
      <c r="BC46" s="752"/>
      <c r="BD46" s="752"/>
      <c r="BE46" s="884"/>
      <c r="BF46" s="885"/>
      <c r="BG46" s="569" t="s">
        <v>1769</v>
      </c>
      <c r="BH46" s="815"/>
      <c r="BI46" s="1432">
        <v>13</v>
      </c>
      <c r="BJ46" s="823"/>
      <c r="BK46" s="1316"/>
      <c r="BL46" s="1316"/>
    </row>
    <row r="47" spans="1:64" ht="125.15" customHeight="1" x14ac:dyDescent="0.35">
      <c r="A47" s="1460"/>
      <c r="B47" s="1359"/>
      <c r="C47" s="1282"/>
      <c r="D47" s="1282"/>
      <c r="E47" s="1471"/>
      <c r="F47" s="1313" t="s">
        <v>1593</v>
      </c>
      <c r="G47" s="1314"/>
      <c r="H47" s="1314"/>
      <c r="I47" s="1314"/>
      <c r="J47" s="1314"/>
      <c r="K47" s="1314"/>
      <c r="L47" s="1314"/>
      <c r="M47" s="1314"/>
      <c r="N47" s="1315"/>
      <c r="O47" s="1282"/>
      <c r="P47" s="1282"/>
      <c r="Q47" s="456">
        <f>361000</f>
        <v>361000</v>
      </c>
      <c r="R47" s="456">
        <v>447121</v>
      </c>
      <c r="S47" s="1270"/>
      <c r="T47" s="1312"/>
      <c r="U47" s="328"/>
      <c r="V47" s="1270"/>
      <c r="W47" s="613">
        <f>Q47</f>
        <v>361000</v>
      </c>
      <c r="X47" s="585"/>
      <c r="Y47" s="1270"/>
      <c r="Z47" s="1312"/>
      <c r="AA47" s="613">
        <f>W47</f>
        <v>361000</v>
      </c>
      <c r="AB47" s="585"/>
      <c r="AC47" s="1270"/>
      <c r="AD47" s="1312"/>
      <c r="AE47" s="486">
        <f>AA47</f>
        <v>361000</v>
      </c>
      <c r="AF47" s="1473"/>
      <c r="AG47" s="1310"/>
      <c r="AH47" s="1276"/>
      <c r="AI47" s="1272"/>
      <c r="AJ47" s="1481"/>
      <c r="AK47" s="628"/>
      <c r="AL47" s="477"/>
      <c r="AM47" s="488"/>
      <c r="AN47" s="477"/>
      <c r="AO47" s="1089"/>
      <c r="AP47" s="488"/>
      <c r="AQ47" s="488"/>
      <c r="AR47" s="628"/>
      <c r="AS47" s="899"/>
      <c r="AT47" s="899"/>
      <c r="AU47" s="899"/>
      <c r="AV47" s="899"/>
      <c r="AW47" s="899"/>
      <c r="AX47" s="899"/>
      <c r="AY47" s="899"/>
      <c r="AZ47" s="899"/>
      <c r="BA47" s="899"/>
      <c r="BB47" s="899"/>
      <c r="BC47" s="899"/>
      <c r="BD47" s="899"/>
      <c r="BE47" s="900"/>
      <c r="BF47" s="901"/>
      <c r="BG47" s="564"/>
      <c r="BH47" s="1148"/>
      <c r="BI47" s="1433"/>
      <c r="BJ47" s="823"/>
      <c r="BK47" s="1317"/>
      <c r="BL47" s="1317"/>
    </row>
    <row r="48" spans="1:64" ht="17.25" customHeight="1" x14ac:dyDescent="0.35">
      <c r="A48" s="1204"/>
      <c r="B48" s="795"/>
      <c r="C48" s="796" t="s">
        <v>1810</v>
      </c>
      <c r="D48" s="302"/>
      <c r="E48" s="303"/>
      <c r="F48" s="303"/>
      <c r="G48" s="303"/>
      <c r="H48" s="303"/>
      <c r="I48" s="303"/>
      <c r="J48" s="303"/>
      <c r="K48" s="303"/>
      <c r="L48" s="303"/>
      <c r="M48" s="303"/>
      <c r="N48" s="307"/>
      <c r="O48" s="303"/>
      <c r="P48" s="302"/>
      <c r="Q48" s="305"/>
      <c r="R48" s="305"/>
      <c r="S48" s="306"/>
      <c r="T48" s="560"/>
      <c r="U48" s="305"/>
      <c r="V48" s="305"/>
      <c r="W48" s="506"/>
      <c r="X48" s="584"/>
      <c r="Y48" s="307"/>
      <c r="Z48" s="560"/>
      <c r="AA48" s="506"/>
      <c r="AB48" s="584"/>
      <c r="AC48" s="307"/>
      <c r="AD48" s="560"/>
      <c r="AE48" s="305"/>
      <c r="AF48" s="1075"/>
      <c r="AG48" s="1078"/>
      <c r="AH48" s="1079"/>
      <c r="AI48" s="800"/>
      <c r="AJ48" s="1201" t="s">
        <v>1810</v>
      </c>
      <c r="AK48" s="805"/>
      <c r="AL48" s="803"/>
      <c r="AM48" s="804"/>
      <c r="AN48" s="803"/>
      <c r="AO48" s="803"/>
      <c r="AP48" s="803"/>
      <c r="AQ48" s="804"/>
      <c r="AR48" s="805"/>
      <c r="AS48" s="803"/>
      <c r="AT48" s="803"/>
      <c r="AU48" s="803"/>
      <c r="AV48" s="803"/>
      <c r="AW48" s="803"/>
      <c r="AX48" s="803"/>
      <c r="AY48" s="803"/>
      <c r="AZ48" s="803"/>
      <c r="BA48" s="803"/>
      <c r="BB48" s="803"/>
      <c r="BC48" s="803"/>
      <c r="BD48" s="803"/>
      <c r="BE48" s="804"/>
      <c r="BF48" s="805"/>
      <c r="BG48" s="302"/>
      <c r="BH48" s="570"/>
      <c r="BI48" s="1080"/>
      <c r="BJ48" s="823"/>
      <c r="BK48" s="807"/>
      <c r="BL48" s="807"/>
    </row>
    <row r="49" spans="1:64" ht="125.15" customHeight="1" x14ac:dyDescent="0.35">
      <c r="A49" s="1459">
        <v>14</v>
      </c>
      <c r="B49" s="1358" t="s">
        <v>2314</v>
      </c>
      <c r="C49" s="1281" t="s">
        <v>1811</v>
      </c>
      <c r="D49" s="1281" t="s">
        <v>1759</v>
      </c>
      <c r="E49" s="1470"/>
      <c r="F49" s="851"/>
      <c r="G49" s="826"/>
      <c r="H49" s="826"/>
      <c r="I49" s="826"/>
      <c r="J49" s="826"/>
      <c r="K49" s="826"/>
      <c r="L49" s="826"/>
      <c r="M49" s="826"/>
      <c r="N49" s="828"/>
      <c r="O49" s="1281" t="s">
        <v>1760</v>
      </c>
      <c r="P49" s="1281" t="s">
        <v>1778</v>
      </c>
      <c r="Q49" s="493"/>
      <c r="R49" s="493"/>
      <c r="S49" s="1268"/>
      <c r="T49" s="1311" t="s">
        <v>1763</v>
      </c>
      <c r="U49" s="329"/>
      <c r="V49" s="1268"/>
      <c r="W49" s="489"/>
      <c r="X49" s="618"/>
      <c r="Y49" s="1268" t="s">
        <v>1779</v>
      </c>
      <c r="Z49" s="1311" t="s">
        <v>1763</v>
      </c>
      <c r="AA49" s="489"/>
      <c r="AB49" s="589" t="s">
        <v>1773</v>
      </c>
      <c r="AC49" s="1268"/>
      <c r="AD49" s="1311"/>
      <c r="AE49" s="329"/>
      <c r="AF49" s="1457"/>
      <c r="AG49" s="1309">
        <v>14</v>
      </c>
      <c r="AH49" s="1275">
        <v>14</v>
      </c>
      <c r="AI49" s="1271"/>
      <c r="AJ49" s="1480" t="s">
        <v>1811</v>
      </c>
      <c r="AK49" s="618"/>
      <c r="AL49" s="329"/>
      <c r="AM49" s="329"/>
      <c r="AN49" s="329"/>
      <c r="AO49" s="1087"/>
      <c r="AP49" s="329"/>
      <c r="AQ49" s="489"/>
      <c r="AR49" s="618"/>
      <c r="AS49" s="752"/>
      <c r="AT49" s="752"/>
      <c r="AU49" s="752"/>
      <c r="AV49" s="752"/>
      <c r="AW49" s="752"/>
      <c r="AX49" s="752"/>
      <c r="AY49" s="752"/>
      <c r="AZ49" s="752"/>
      <c r="BA49" s="752"/>
      <c r="BB49" s="752"/>
      <c r="BC49" s="752"/>
      <c r="BD49" s="752"/>
      <c r="BE49" s="884"/>
      <c r="BF49" s="885"/>
      <c r="BG49" s="569" t="s">
        <v>1769</v>
      </c>
      <c r="BH49" s="815"/>
      <c r="BI49" s="1432">
        <v>14</v>
      </c>
      <c r="BJ49" s="823"/>
      <c r="BK49" s="1316"/>
      <c r="BL49" s="1316"/>
    </row>
    <row r="50" spans="1:64" ht="125.15" customHeight="1" x14ac:dyDescent="0.35">
      <c r="A50" s="1460"/>
      <c r="B50" s="1359"/>
      <c r="C50" s="1302"/>
      <c r="D50" s="1302"/>
      <c r="E50" s="1485"/>
      <c r="F50" s="1355" t="s">
        <v>1593</v>
      </c>
      <c r="G50" s="1356"/>
      <c r="H50" s="1356"/>
      <c r="I50" s="1356"/>
      <c r="J50" s="1356"/>
      <c r="K50" s="1356"/>
      <c r="L50" s="1356"/>
      <c r="M50" s="1356"/>
      <c r="N50" s="1357"/>
      <c r="O50" s="1302"/>
      <c r="P50" s="1302"/>
      <c r="Q50" s="480"/>
      <c r="R50" s="480"/>
      <c r="S50" s="1269"/>
      <c r="T50" s="1334"/>
      <c r="U50" s="331"/>
      <c r="V50" s="1269"/>
      <c r="W50" s="626"/>
      <c r="X50" s="610"/>
      <c r="Y50" s="1269"/>
      <c r="Z50" s="1334"/>
      <c r="AA50" s="690"/>
      <c r="AB50" s="582"/>
      <c r="AC50" s="1269"/>
      <c r="AD50" s="1334"/>
      <c r="AE50" s="331"/>
      <c r="AF50" s="1499"/>
      <c r="AG50" s="1310"/>
      <c r="AH50" s="1276"/>
      <c r="AI50" s="1296"/>
      <c r="AJ50" s="1500"/>
      <c r="AK50" s="611"/>
      <c r="AL50" s="480"/>
      <c r="AM50" s="690"/>
      <c r="AN50" s="480"/>
      <c r="AO50" s="1207"/>
      <c r="AP50" s="690"/>
      <c r="AQ50" s="690"/>
      <c r="AR50" s="611"/>
      <c r="AS50" s="893"/>
      <c r="AT50" s="893"/>
      <c r="AU50" s="893"/>
      <c r="AV50" s="893"/>
      <c r="AW50" s="893"/>
      <c r="AX50" s="893"/>
      <c r="AY50" s="893"/>
      <c r="AZ50" s="893"/>
      <c r="BA50" s="893"/>
      <c r="BB50" s="893"/>
      <c r="BC50" s="893"/>
      <c r="BD50" s="893"/>
      <c r="BE50" s="894"/>
      <c r="BF50" s="895"/>
      <c r="BG50" s="664"/>
      <c r="BH50" s="1198"/>
      <c r="BI50" s="1433"/>
      <c r="BJ50" s="823"/>
      <c r="BK50" s="1317"/>
      <c r="BL50" s="1317"/>
    </row>
    <row r="51" spans="1:64" ht="17.25" customHeight="1" x14ac:dyDescent="0.35">
      <c r="A51" s="1204"/>
      <c r="B51" s="795"/>
      <c r="C51" s="796" t="s">
        <v>1812</v>
      </c>
      <c r="D51" s="302"/>
      <c r="E51" s="303"/>
      <c r="F51" s="303"/>
      <c r="G51" s="303"/>
      <c r="H51" s="303"/>
      <c r="I51" s="303"/>
      <c r="J51" s="303"/>
      <c r="K51" s="303"/>
      <c r="L51" s="303"/>
      <c r="M51" s="303"/>
      <c r="N51" s="307"/>
      <c r="O51" s="303"/>
      <c r="P51" s="302"/>
      <c r="Q51" s="305"/>
      <c r="R51" s="305"/>
      <c r="S51" s="306"/>
      <c r="T51" s="560"/>
      <c r="U51" s="305"/>
      <c r="V51" s="305"/>
      <c r="W51" s="506"/>
      <c r="X51" s="584"/>
      <c r="Y51" s="307"/>
      <c r="Z51" s="560"/>
      <c r="AA51" s="506"/>
      <c r="AB51" s="584"/>
      <c r="AC51" s="307"/>
      <c r="AD51" s="560"/>
      <c r="AE51" s="305"/>
      <c r="AF51" s="1075"/>
      <c r="AG51" s="1078"/>
      <c r="AH51" s="1079"/>
      <c r="AI51" s="800"/>
      <c r="AJ51" s="1201" t="s">
        <v>1812</v>
      </c>
      <c r="AK51" s="805"/>
      <c r="AL51" s="803"/>
      <c r="AM51" s="804"/>
      <c r="AN51" s="803"/>
      <c r="AO51" s="803"/>
      <c r="AP51" s="803"/>
      <c r="AQ51" s="804"/>
      <c r="AR51" s="805"/>
      <c r="AS51" s="803"/>
      <c r="AT51" s="803"/>
      <c r="AU51" s="803"/>
      <c r="AV51" s="803"/>
      <c r="AW51" s="803"/>
      <c r="AX51" s="803"/>
      <c r="AY51" s="803"/>
      <c r="AZ51" s="803"/>
      <c r="BA51" s="803"/>
      <c r="BB51" s="803"/>
      <c r="BC51" s="803"/>
      <c r="BD51" s="803"/>
      <c r="BE51" s="804"/>
      <c r="BF51" s="805"/>
      <c r="BG51" s="302"/>
      <c r="BH51" s="570"/>
      <c r="BI51" s="1080"/>
      <c r="BJ51" s="823"/>
      <c r="BK51" s="807"/>
      <c r="BL51" s="807"/>
    </row>
    <row r="52" spans="1:64" ht="125.15" customHeight="1" x14ac:dyDescent="0.35">
      <c r="A52" s="1459">
        <v>15</v>
      </c>
      <c r="B52" s="1358" t="s">
        <v>2315</v>
      </c>
      <c r="C52" s="1281" t="s">
        <v>1813</v>
      </c>
      <c r="D52" s="1281" t="s">
        <v>1759</v>
      </c>
      <c r="E52" s="1470"/>
      <c r="F52" s="851"/>
      <c r="G52" s="826"/>
      <c r="H52" s="826"/>
      <c r="I52" s="826"/>
      <c r="J52" s="826"/>
      <c r="K52" s="826"/>
      <c r="L52" s="826"/>
      <c r="M52" s="826"/>
      <c r="N52" s="828"/>
      <c r="O52" s="1281" t="s">
        <v>1760</v>
      </c>
      <c r="P52" s="1281" t="s">
        <v>1778</v>
      </c>
      <c r="Q52" s="455"/>
      <c r="R52" s="455"/>
      <c r="S52" s="1268" t="s">
        <v>1814</v>
      </c>
      <c r="T52" s="1311" t="s">
        <v>1763</v>
      </c>
      <c r="U52" s="329"/>
      <c r="V52" s="1268"/>
      <c r="W52" s="612"/>
      <c r="X52" s="582" t="s">
        <v>1769</v>
      </c>
      <c r="Y52" s="1268" t="s">
        <v>1783</v>
      </c>
      <c r="Z52" s="1311" t="s">
        <v>1763</v>
      </c>
      <c r="AA52" s="612"/>
      <c r="AB52" s="589" t="s">
        <v>1784</v>
      </c>
      <c r="AC52" s="1268"/>
      <c r="AD52" s="1311"/>
      <c r="AE52" s="327"/>
      <c r="AF52" s="1472" t="s">
        <v>1785</v>
      </c>
      <c r="AG52" s="1309">
        <v>15</v>
      </c>
      <c r="AH52" s="1275">
        <v>15</v>
      </c>
      <c r="AI52" s="1271"/>
      <c r="AJ52" s="1480" t="s">
        <v>1813</v>
      </c>
      <c r="AK52" s="618"/>
      <c r="AL52" s="329"/>
      <c r="AM52" s="329"/>
      <c r="AN52" s="329"/>
      <c r="AO52" s="1087"/>
      <c r="AP52" s="329"/>
      <c r="AQ52" s="489"/>
      <c r="AR52" s="618"/>
      <c r="AS52" s="752"/>
      <c r="AT52" s="752"/>
      <c r="AU52" s="752"/>
      <c r="AV52" s="752"/>
      <c r="AW52" s="752"/>
      <c r="AX52" s="752"/>
      <c r="AY52" s="752"/>
      <c r="AZ52" s="752"/>
      <c r="BA52" s="752"/>
      <c r="BB52" s="752"/>
      <c r="BC52" s="752"/>
      <c r="BD52" s="752"/>
      <c r="BE52" s="884"/>
      <c r="BF52" s="885"/>
      <c r="BG52" s="569" t="s">
        <v>1769</v>
      </c>
      <c r="BH52" s="815"/>
      <c r="BI52" s="1432">
        <v>15</v>
      </c>
      <c r="BJ52" s="823"/>
      <c r="BK52" s="1316"/>
      <c r="BL52" s="1316"/>
    </row>
    <row r="53" spans="1:64" ht="125.15" customHeight="1" thickBot="1" x14ac:dyDescent="0.4">
      <c r="A53" s="1460"/>
      <c r="B53" s="1359"/>
      <c r="C53" s="1282"/>
      <c r="D53" s="1282"/>
      <c r="E53" s="1471"/>
      <c r="F53" s="1313" t="s">
        <v>1593</v>
      </c>
      <c r="G53" s="1314"/>
      <c r="H53" s="1314"/>
      <c r="I53" s="1314"/>
      <c r="J53" s="1314"/>
      <c r="K53" s="1314"/>
      <c r="L53" s="1314"/>
      <c r="M53" s="1314"/>
      <c r="N53" s="1315"/>
      <c r="O53" s="1282"/>
      <c r="P53" s="1282"/>
      <c r="Q53" s="456">
        <f>361000</f>
        <v>361000</v>
      </c>
      <c r="R53" s="456">
        <v>447121</v>
      </c>
      <c r="S53" s="1270"/>
      <c r="T53" s="1312"/>
      <c r="U53" s="328"/>
      <c r="V53" s="1270"/>
      <c r="W53" s="613">
        <f>Q53</f>
        <v>361000</v>
      </c>
      <c r="X53" s="585"/>
      <c r="Y53" s="1270"/>
      <c r="Z53" s="1312"/>
      <c r="AA53" s="613">
        <f>W53</f>
        <v>361000</v>
      </c>
      <c r="AB53" s="703"/>
      <c r="AC53" s="1270"/>
      <c r="AD53" s="1312"/>
      <c r="AE53" s="486">
        <f>AA53</f>
        <v>361000</v>
      </c>
      <c r="AF53" s="1473"/>
      <c r="AG53" s="1310"/>
      <c r="AH53" s="1276"/>
      <c r="AI53" s="1272"/>
      <c r="AJ53" s="1481"/>
      <c r="AK53" s="628"/>
      <c r="AL53" s="477"/>
      <c r="AM53" s="488"/>
      <c r="AN53" s="477"/>
      <c r="AO53" s="1089"/>
      <c r="AP53" s="477"/>
      <c r="AQ53" s="488"/>
      <c r="AR53" s="628"/>
      <c r="AS53" s="899"/>
      <c r="AT53" s="899"/>
      <c r="AU53" s="899"/>
      <c r="AV53" s="899"/>
      <c r="AW53" s="899"/>
      <c r="AX53" s="899"/>
      <c r="AY53" s="899"/>
      <c r="AZ53" s="899"/>
      <c r="BA53" s="899"/>
      <c r="BB53" s="899"/>
      <c r="BC53" s="899"/>
      <c r="BD53" s="899"/>
      <c r="BE53" s="900"/>
      <c r="BF53" s="901"/>
      <c r="BG53" s="564"/>
      <c r="BH53" s="1148"/>
      <c r="BI53" s="1433"/>
      <c r="BJ53" s="823"/>
      <c r="BK53" s="1317"/>
      <c r="BL53" s="1317"/>
    </row>
    <row r="54" spans="1:64" ht="99.9" customHeight="1" thickTop="1" x14ac:dyDescent="0.35">
      <c r="B54" s="1368"/>
      <c r="C54" s="1347"/>
      <c r="D54" s="1347"/>
      <c r="E54" s="1347"/>
      <c r="F54" s="1347"/>
      <c r="G54" s="1347"/>
      <c r="H54" s="1347"/>
      <c r="I54" s="1347"/>
      <c r="J54" s="1347"/>
      <c r="K54" s="1347"/>
      <c r="L54" s="1347"/>
      <c r="M54" s="1347"/>
      <c r="N54" s="1347"/>
      <c r="O54" s="1347"/>
      <c r="P54" s="1347"/>
      <c r="Q54" s="1349" t="s">
        <v>1</v>
      </c>
      <c r="R54" s="1446" t="s">
        <v>2198</v>
      </c>
      <c r="S54" s="1337"/>
      <c r="T54" s="1337"/>
      <c r="U54" s="1351" t="s">
        <v>2</v>
      </c>
      <c r="V54" s="1337"/>
      <c r="W54" s="1542" t="s">
        <v>856</v>
      </c>
      <c r="X54" s="1547" t="s">
        <v>503</v>
      </c>
      <c r="Y54" s="1335"/>
      <c r="Z54" s="1337"/>
      <c r="AA54" s="1542" t="s">
        <v>506</v>
      </c>
      <c r="AB54" s="1547" t="s">
        <v>1575</v>
      </c>
      <c r="AC54" s="1335"/>
      <c r="AD54" s="1337"/>
      <c r="AE54" s="1504" t="s">
        <v>508</v>
      </c>
      <c r="AF54" s="1486"/>
      <c r="AI54" s="1332"/>
      <c r="AJ54" s="1347"/>
      <c r="AK54" s="1208" t="s">
        <v>2234</v>
      </c>
      <c r="AL54" s="977" t="s">
        <v>2235</v>
      </c>
      <c r="AM54" s="977" t="s">
        <v>2236</v>
      </c>
      <c r="AN54" s="977" t="s">
        <v>2237</v>
      </c>
      <c r="AO54" s="977" t="s">
        <v>2238</v>
      </c>
      <c r="AP54" s="977" t="s">
        <v>2239</v>
      </c>
      <c r="AQ54" s="1209" t="s">
        <v>2240</v>
      </c>
      <c r="AR54" s="1208" t="s">
        <v>2241</v>
      </c>
      <c r="AS54" s="977" t="s">
        <v>2242</v>
      </c>
      <c r="AT54" s="977" t="s">
        <v>2243</v>
      </c>
      <c r="AU54" s="977" t="s">
        <v>2244</v>
      </c>
      <c r="AV54" s="977" t="s">
        <v>2245</v>
      </c>
      <c r="AW54" s="977" t="s">
        <v>2246</v>
      </c>
      <c r="AX54" s="977" t="s">
        <v>2247</v>
      </c>
      <c r="AY54" s="977" t="s">
        <v>2248</v>
      </c>
      <c r="AZ54" s="977" t="s">
        <v>2249</v>
      </c>
      <c r="BA54" s="977" t="s">
        <v>2250</v>
      </c>
      <c r="BB54" s="977" t="s">
        <v>2251</v>
      </c>
      <c r="BC54" s="977" t="s">
        <v>2252</v>
      </c>
      <c r="BD54" s="977" t="s">
        <v>2253</v>
      </c>
      <c r="BE54" s="1209" t="s">
        <v>2254</v>
      </c>
      <c r="BF54" s="1208" t="s">
        <v>2255</v>
      </c>
      <c r="BG54" s="1343" t="s">
        <v>41</v>
      </c>
      <c r="BH54" s="1506" t="s">
        <v>42</v>
      </c>
      <c r="BI54" s="758"/>
      <c r="BJ54" s="823"/>
      <c r="BK54" s="1316"/>
      <c r="BL54" s="1316"/>
    </row>
    <row r="55" spans="1:64" s="793" customFormat="1" ht="50.15" customHeight="1" x14ac:dyDescent="0.35">
      <c r="A55" s="880"/>
      <c r="B55" s="1369"/>
      <c r="C55" s="1348"/>
      <c r="D55" s="1348"/>
      <c r="E55" s="1348"/>
      <c r="F55" s="454"/>
      <c r="G55" s="454"/>
      <c r="H55" s="454"/>
      <c r="I55" s="454"/>
      <c r="J55" s="454"/>
      <c r="K55" s="454"/>
      <c r="L55" s="454"/>
      <c r="M55" s="454"/>
      <c r="N55" s="454"/>
      <c r="O55" s="1348"/>
      <c r="P55" s="1348"/>
      <c r="Q55" s="1350"/>
      <c r="R55" s="1447"/>
      <c r="S55" s="1338"/>
      <c r="T55" s="1338"/>
      <c r="U55" s="1352"/>
      <c r="V55" s="1338"/>
      <c r="W55" s="1543"/>
      <c r="X55" s="1548"/>
      <c r="Y55" s="1336"/>
      <c r="Z55" s="1338"/>
      <c r="AA55" s="1543"/>
      <c r="AB55" s="1548"/>
      <c r="AC55" s="1336"/>
      <c r="AD55" s="1338"/>
      <c r="AE55" s="1505"/>
      <c r="AF55" s="1487"/>
      <c r="AG55" s="880"/>
      <c r="AH55" s="880"/>
      <c r="AI55" s="1333"/>
      <c r="AJ55" s="1348"/>
      <c r="AK55" s="1210">
        <v>8500</v>
      </c>
      <c r="AL55" s="982">
        <v>1500</v>
      </c>
      <c r="AM55" s="982">
        <v>2600</v>
      </c>
      <c r="AN55" s="983">
        <v>750</v>
      </c>
      <c r="AO55" s="983" t="s">
        <v>48</v>
      </c>
      <c r="AP55" s="982">
        <v>2100</v>
      </c>
      <c r="AQ55" s="1211">
        <v>1050</v>
      </c>
      <c r="AR55" s="1212">
        <v>550</v>
      </c>
      <c r="AS55" s="983">
        <v>70</v>
      </c>
      <c r="AT55" s="983">
        <v>30</v>
      </c>
      <c r="AU55" s="983">
        <v>35</v>
      </c>
      <c r="AV55" s="983">
        <v>35</v>
      </c>
      <c r="AW55" s="983">
        <v>20</v>
      </c>
      <c r="AX55" s="983">
        <v>16</v>
      </c>
      <c r="AY55" s="983">
        <v>15</v>
      </c>
      <c r="AZ55" s="983">
        <v>13</v>
      </c>
      <c r="BA55" s="983">
        <v>10</v>
      </c>
      <c r="BB55" s="983">
        <v>10</v>
      </c>
      <c r="BC55" s="983">
        <v>10</v>
      </c>
      <c r="BD55" s="983">
        <v>10</v>
      </c>
      <c r="BE55" s="1213">
        <v>10</v>
      </c>
      <c r="BF55" s="1210">
        <v>2120</v>
      </c>
      <c r="BG55" s="1344"/>
      <c r="BH55" s="1507"/>
      <c r="BI55" s="880"/>
      <c r="BJ55" s="823"/>
      <c r="BK55" s="1317"/>
      <c r="BL55" s="1317"/>
    </row>
    <row r="56" spans="1:64" ht="17.25" customHeight="1" thickBot="1" x14ac:dyDescent="0.4">
      <c r="B56" s="988"/>
      <c r="C56" s="573"/>
      <c r="D56" s="573"/>
      <c r="E56" s="989" t="s">
        <v>857</v>
      </c>
      <c r="F56" s="574"/>
      <c r="G56" s="574"/>
      <c r="H56" s="574"/>
      <c r="I56" s="574"/>
      <c r="J56" s="574"/>
      <c r="K56" s="574"/>
      <c r="L56" s="574"/>
      <c r="M56" s="574"/>
      <c r="N56" s="578"/>
      <c r="O56" s="574"/>
      <c r="P56" s="573"/>
      <c r="Q56" s="575"/>
      <c r="R56" s="575"/>
      <c r="S56" s="577"/>
      <c r="T56" s="576"/>
      <c r="U56" s="575"/>
      <c r="V56" s="575"/>
      <c r="W56" s="581"/>
      <c r="X56" s="609"/>
      <c r="Y56" s="578"/>
      <c r="Z56" s="576"/>
      <c r="AA56" s="595"/>
      <c r="AB56" s="609"/>
      <c r="AC56" s="578"/>
      <c r="AD56" s="576"/>
      <c r="AE56" s="575"/>
      <c r="AF56" s="1149"/>
      <c r="AI56" s="991"/>
      <c r="AJ56" s="1214" t="s">
        <v>857</v>
      </c>
      <c r="AK56" s="1215"/>
      <c r="AL56" s="1216"/>
      <c r="AM56" s="1217"/>
      <c r="AN56" s="1216"/>
      <c r="AO56" s="1216"/>
      <c r="AP56" s="1216"/>
      <c r="AQ56" s="1217"/>
      <c r="AR56" s="1215"/>
      <c r="AS56" s="1216"/>
      <c r="AT56" s="1216"/>
      <c r="AU56" s="1216"/>
      <c r="AV56" s="1216"/>
      <c r="AW56" s="1216"/>
      <c r="AX56" s="1216"/>
      <c r="AY56" s="1216"/>
      <c r="AZ56" s="1216"/>
      <c r="BA56" s="1216"/>
      <c r="BB56" s="1216"/>
      <c r="BC56" s="1216"/>
      <c r="BD56" s="1216"/>
      <c r="BE56" s="1217"/>
      <c r="BF56" s="1215"/>
      <c r="BG56" s="573"/>
      <c r="BH56" s="580"/>
      <c r="BI56" s="758"/>
      <c r="BJ56" s="823"/>
      <c r="BK56" s="807"/>
      <c r="BL56" s="807"/>
    </row>
    <row r="57" spans="1:64" s="1012" customFormat="1" ht="19" thickTop="1" x14ac:dyDescent="0.35">
      <c r="A57" s="821">
        <v>16</v>
      </c>
      <c r="B57" s="1000"/>
      <c r="C57" s="1000"/>
      <c r="D57" s="1000"/>
      <c r="E57" s="1001" t="s">
        <v>2207</v>
      </c>
      <c r="F57" s="1002"/>
      <c r="G57" s="1002"/>
      <c r="H57" s="1002"/>
      <c r="I57" s="1002"/>
      <c r="J57" s="1002"/>
      <c r="K57" s="1002"/>
      <c r="L57" s="1002"/>
      <c r="M57" s="1002"/>
      <c r="N57" s="1002"/>
      <c r="O57" s="1003"/>
      <c r="P57" s="1002"/>
      <c r="Q57" s="1004">
        <f>Q7+Q10+Q12+Q15+Q18+Q21+Q24+Q27+Q35+Q38+Q41+Q44+Q47+Q50+Q53</f>
        <v>35763077</v>
      </c>
      <c r="R57" s="1004">
        <f>R10+Q12+R18+R21+R24+R27+R35+R38+R41+R44+R47+R53</f>
        <v>42963820</v>
      </c>
      <c r="S57" s="1005"/>
      <c r="T57" s="1005"/>
      <c r="U57" s="1006"/>
      <c r="V57" s="1005"/>
      <c r="W57" s="1009"/>
      <c r="X57" s="1007"/>
      <c r="Y57" s="1010"/>
      <c r="Z57" s="1005"/>
      <c r="AA57" s="1009"/>
      <c r="AB57" s="1007"/>
      <c r="AC57" s="1010"/>
      <c r="AD57" s="1005"/>
      <c r="AE57" s="1009"/>
      <c r="AF57" s="1011"/>
      <c r="AG57" s="821">
        <v>16</v>
      </c>
      <c r="AH57" s="758"/>
      <c r="AI57" s="1011"/>
      <c r="AJ57" s="1011"/>
      <c r="AK57" s="1006"/>
      <c r="AL57" s="1007"/>
      <c r="AM57" s="1007"/>
      <c r="AN57" s="1007"/>
      <c r="AO57" s="1007"/>
      <c r="AP57" s="1007"/>
      <c r="AQ57" s="1007"/>
      <c r="AR57" s="1007"/>
      <c r="AS57" s="1007"/>
      <c r="AT57" s="1007"/>
      <c r="AU57" s="1007"/>
      <c r="AV57" s="1007"/>
      <c r="AW57" s="1007"/>
      <c r="AX57" s="1007"/>
      <c r="AY57" s="1007"/>
      <c r="AZ57" s="1007"/>
      <c r="BA57" s="1007"/>
      <c r="BB57" s="1007"/>
      <c r="BC57" s="1007"/>
      <c r="BD57" s="1007"/>
      <c r="BE57" s="1007"/>
      <c r="BF57" s="1007"/>
      <c r="BG57" s="1007"/>
      <c r="BH57" s="1007"/>
      <c r="BI57" s="758"/>
      <c r="BJ57" s="860"/>
      <c r="BK57" s="1326"/>
      <c r="BL57" s="1326"/>
    </row>
    <row r="58" spans="1:64" s="1012" customFormat="1" ht="18.5" x14ac:dyDescent="0.35">
      <c r="A58" s="821">
        <v>17</v>
      </c>
      <c r="B58" s="1013"/>
      <c r="C58" s="1014"/>
      <c r="D58" s="1014"/>
      <c r="E58" s="1015" t="s">
        <v>859</v>
      </c>
      <c r="F58" s="1016"/>
      <c r="G58" s="1016"/>
      <c r="H58" s="1016"/>
      <c r="I58" s="1016"/>
      <c r="J58" s="1016"/>
      <c r="K58" s="1016"/>
      <c r="L58" s="1016"/>
      <c r="M58" s="1016"/>
      <c r="N58" s="1016"/>
      <c r="O58" s="1017"/>
      <c r="P58" s="1018"/>
      <c r="Q58" s="1016"/>
      <c r="R58" s="1016"/>
      <c r="S58" s="1018"/>
      <c r="T58" s="1018"/>
      <c r="U58" s="1019">
        <f>U7+U10+U12+U15+U18+U21+U24+U27+U35+U38+U41+U44+U47+U50+U53</f>
        <v>0</v>
      </c>
      <c r="V58" s="1020"/>
      <c r="W58" s="1113"/>
      <c r="X58" s="1021"/>
      <c r="Y58" s="1020"/>
      <c r="AA58" s="1023"/>
      <c r="AB58" s="1021"/>
      <c r="AC58" s="1020"/>
      <c r="AE58" s="1023"/>
      <c r="AG58" s="821">
        <v>17</v>
      </c>
      <c r="AH58" s="758"/>
      <c r="AJ58" s="1024"/>
      <c r="AK58" s="1023"/>
      <c r="AL58" s="1025"/>
      <c r="AM58" s="1025"/>
      <c r="AN58" s="1025"/>
      <c r="AO58" s="1025"/>
      <c r="AP58" s="1025"/>
      <c r="AQ58" s="1025"/>
      <c r="AR58" s="1025"/>
      <c r="AS58" s="1025"/>
      <c r="AT58" s="1025"/>
      <c r="AU58" s="1025"/>
      <c r="AV58" s="1025"/>
      <c r="AW58" s="1025"/>
      <c r="AX58" s="1025"/>
      <c r="AY58" s="1025"/>
      <c r="AZ58" s="1025"/>
      <c r="BA58" s="1025"/>
      <c r="BB58" s="1025"/>
      <c r="BC58" s="1025"/>
      <c r="BD58" s="1025"/>
      <c r="BE58" s="1025"/>
      <c r="BF58" s="1025"/>
      <c r="BG58" s="1025"/>
      <c r="BH58" s="1025"/>
      <c r="BI58" s="758"/>
      <c r="BJ58" s="791"/>
      <c r="BK58" s="1326"/>
      <c r="BL58" s="1326"/>
    </row>
    <row r="59" spans="1:64" s="1012" customFormat="1" ht="18.5" x14ac:dyDescent="0.35">
      <c r="A59" s="821">
        <v>18</v>
      </c>
      <c r="B59" s="1026"/>
      <c r="C59" s="1026"/>
      <c r="D59" s="1026"/>
      <c r="E59" s="1027" t="s">
        <v>860</v>
      </c>
      <c r="F59" s="1028"/>
      <c r="G59" s="1028"/>
      <c r="H59" s="1028"/>
      <c r="I59" s="1028"/>
      <c r="J59" s="1028"/>
      <c r="K59" s="1028"/>
      <c r="L59" s="1028"/>
      <c r="M59" s="1028"/>
      <c r="N59" s="1028"/>
      <c r="O59" s="1029"/>
      <c r="P59" s="1030"/>
      <c r="Q59" s="1028"/>
      <c r="R59" s="1028"/>
      <c r="S59" s="1030"/>
      <c r="T59" s="1030"/>
      <c r="U59" s="1028"/>
      <c r="V59" s="1028"/>
      <c r="W59" s="1114">
        <f>W7+W10+W12+W15+W18+W21+W24+W27+W35+W38+W41+W44+W47+W50+W53</f>
        <v>35763077</v>
      </c>
      <c r="X59" s="1031"/>
      <c r="Y59" s="1034"/>
      <c r="Z59" s="1033"/>
      <c r="AA59" s="1114">
        <f>AA7+AA10+AA12+AA15+AA18+AA21+AA24+AA27+AA35+AA38+AA41+AA44+AA47+AA50+AA53</f>
        <v>14731397</v>
      </c>
      <c r="AB59" s="1031"/>
      <c r="AC59" s="1034"/>
      <c r="AD59" s="1033"/>
      <c r="AE59" s="1114">
        <f>AE7+AE10+AE12+AE15+AE18+AE21+AE24+AE27+AE35+AE38+AE41+AE44+AE47+AE50+AE53</f>
        <v>14731397</v>
      </c>
      <c r="AF59" s="1011"/>
      <c r="AG59" s="821">
        <v>18</v>
      </c>
      <c r="AH59" s="758"/>
      <c r="AI59" s="1011"/>
      <c r="AJ59" s="1011"/>
      <c r="AK59" s="1006"/>
      <c r="AL59" s="1007"/>
      <c r="AM59" s="1007"/>
      <c r="AN59" s="1007"/>
      <c r="AO59" s="1007"/>
      <c r="AP59" s="1007"/>
      <c r="AQ59" s="1007"/>
      <c r="AR59" s="1007"/>
      <c r="AS59" s="1007"/>
      <c r="AT59" s="1007"/>
      <c r="AU59" s="1007"/>
      <c r="AV59" s="1007"/>
      <c r="AW59" s="1007"/>
      <c r="AX59" s="1007"/>
      <c r="AY59" s="1007"/>
      <c r="AZ59" s="1007"/>
      <c r="BA59" s="1007"/>
      <c r="BB59" s="1007"/>
      <c r="BC59" s="1007"/>
      <c r="BD59" s="1007"/>
      <c r="BE59" s="1007"/>
      <c r="BF59" s="1007"/>
      <c r="BG59" s="1007"/>
      <c r="BH59" s="1007"/>
      <c r="BI59" s="758"/>
      <c r="BJ59" s="823"/>
      <c r="BK59" s="1326"/>
      <c r="BL59" s="1326"/>
    </row>
    <row r="60" spans="1:64" s="1012" customFormat="1" ht="18.5" x14ac:dyDescent="0.35">
      <c r="A60" s="821">
        <v>19</v>
      </c>
      <c r="B60" s="1036"/>
      <c r="C60" s="1036"/>
      <c r="D60" s="1036"/>
      <c r="E60" s="1037" t="s">
        <v>861</v>
      </c>
      <c r="F60" s="1038"/>
      <c r="G60" s="1038"/>
      <c r="H60" s="1038"/>
      <c r="I60" s="1038"/>
      <c r="J60" s="1038"/>
      <c r="K60" s="1038"/>
      <c r="L60" s="1038"/>
      <c r="M60" s="1038"/>
      <c r="N60" s="1038"/>
      <c r="O60" s="1039"/>
      <c r="P60" s="1040"/>
      <c r="Q60" s="1038"/>
      <c r="R60" s="1038"/>
      <c r="S60" s="1040"/>
      <c r="T60" s="1040"/>
      <c r="U60" s="1038"/>
      <c r="V60" s="1038"/>
      <c r="W60" s="1038"/>
      <c r="X60" s="1041">
        <f>X7+X10+X12+X15+X18+X21+X24+X27+X35+X38+X41+X44+X47+X50+X53</f>
        <v>21031680</v>
      </c>
      <c r="Y60" s="1155"/>
      <c r="Z60" s="1043"/>
      <c r="AA60" s="1043"/>
      <c r="AB60" s="1041">
        <f>AB7+AB10+AB12+AB15+AB18+AB21+AB24+AB27+AB35+AB38+AB41+AB44+AB47+AB50+AB53</f>
        <v>0</v>
      </c>
      <c r="AC60" s="1020"/>
      <c r="AE60" s="1116"/>
      <c r="AG60" s="821">
        <v>19</v>
      </c>
      <c r="AH60" s="821">
        <v>19</v>
      </c>
      <c r="AI60" s="1036"/>
      <c r="AJ60" s="1037" t="s">
        <v>862</v>
      </c>
      <c r="AK60" s="1041">
        <f>AK7+AK10+AK12+AK15+AK18+AK21+AK24+AK27+AK35+AK38+AK41+AK44+AK47+AK50+AK53</f>
        <v>11139828</v>
      </c>
      <c r="AL60" s="1041">
        <f t="shared" ref="AL60:BH60" si="0">AL7+AL10+AL12+AL15+AL18+AL21+AL24+AL27+AL35+AL38+AL41+AL44+AL47+AL50+AL53</f>
        <v>1968499</v>
      </c>
      <c r="AM60" s="1041">
        <f t="shared" si="0"/>
        <v>3693843.9716312056</v>
      </c>
      <c r="AN60" s="1041">
        <f t="shared" si="0"/>
        <v>1065531.9148936169</v>
      </c>
      <c r="AO60" s="1041">
        <f t="shared" si="0"/>
        <v>0</v>
      </c>
      <c r="AP60" s="1041">
        <f t="shared" si="0"/>
        <v>2983489.3617021278</v>
      </c>
      <c r="AQ60" s="1041">
        <f t="shared" si="0"/>
        <v>1491744.6808510639</v>
      </c>
      <c r="AR60" s="1041">
        <f t="shared" si="0"/>
        <v>781390.07092198578</v>
      </c>
      <c r="AS60" s="1041">
        <f t="shared" si="0"/>
        <v>0</v>
      </c>
      <c r="AT60" s="1041">
        <f t="shared" si="0"/>
        <v>0</v>
      </c>
      <c r="AU60" s="1041">
        <f t="shared" si="0"/>
        <v>0</v>
      </c>
      <c r="AV60" s="1041">
        <f t="shared" si="0"/>
        <v>0</v>
      </c>
      <c r="AW60" s="1041">
        <f t="shared" si="0"/>
        <v>0</v>
      </c>
      <c r="AX60" s="1041">
        <f t="shared" si="0"/>
        <v>0</v>
      </c>
      <c r="AY60" s="1041">
        <f t="shared" si="0"/>
        <v>0</v>
      </c>
      <c r="AZ60" s="1041">
        <f t="shared" si="0"/>
        <v>0</v>
      </c>
      <c r="BA60" s="1041">
        <f t="shared" si="0"/>
        <v>0</v>
      </c>
      <c r="BB60" s="1041">
        <f t="shared" si="0"/>
        <v>0</v>
      </c>
      <c r="BC60" s="1041">
        <f t="shared" si="0"/>
        <v>0</v>
      </c>
      <c r="BD60" s="1041">
        <f t="shared" si="0"/>
        <v>0</v>
      </c>
      <c r="BE60" s="1041">
        <f t="shared" si="0"/>
        <v>0</v>
      </c>
      <c r="BF60" s="1041">
        <f t="shared" si="0"/>
        <v>0</v>
      </c>
      <c r="BG60" s="1041">
        <f t="shared" si="0"/>
        <v>0</v>
      </c>
      <c r="BH60" s="1041">
        <f t="shared" si="0"/>
        <v>0</v>
      </c>
      <c r="BI60" s="1218">
        <v>19</v>
      </c>
      <c r="BJ60" s="823"/>
      <c r="BK60" s="1326"/>
      <c r="BL60" s="1326"/>
    </row>
    <row r="61" spans="1:64" s="1012" customFormat="1" ht="15" customHeight="1" x14ac:dyDescent="0.35">
      <c r="A61" s="758"/>
      <c r="B61" s="1072" t="s">
        <v>449</v>
      </c>
      <c r="C61" s="1072" t="s">
        <v>450</v>
      </c>
      <c r="D61" s="1072" t="s">
        <v>451</v>
      </c>
      <c r="E61" s="1072" t="s">
        <v>452</v>
      </c>
      <c r="F61" s="1464" t="s">
        <v>453</v>
      </c>
      <c r="G61" s="1464"/>
      <c r="H61" s="1464"/>
      <c r="I61" s="1464"/>
      <c r="J61" s="1464"/>
      <c r="K61" s="1464"/>
      <c r="L61" s="1464"/>
      <c r="M61" s="1464"/>
      <c r="N61" s="1464"/>
      <c r="O61" s="1072" t="s">
        <v>454</v>
      </c>
      <c r="P61" s="1072" t="s">
        <v>455</v>
      </c>
      <c r="Q61" s="1072" t="s">
        <v>456</v>
      </c>
      <c r="R61" s="1072"/>
      <c r="S61" s="1072" t="s">
        <v>457</v>
      </c>
      <c r="T61" s="1072" t="s">
        <v>458</v>
      </c>
      <c r="U61" s="1072" t="s">
        <v>459</v>
      </c>
      <c r="V61" s="1072" t="s">
        <v>460</v>
      </c>
      <c r="W61" s="1072" t="s">
        <v>461</v>
      </c>
      <c r="X61" s="1072" t="s">
        <v>242</v>
      </c>
      <c r="Y61" s="1072" t="s">
        <v>462</v>
      </c>
      <c r="Z61" s="1072" t="s">
        <v>463</v>
      </c>
      <c r="AA61" s="1072" t="s">
        <v>464</v>
      </c>
      <c r="AB61" s="1072" t="s">
        <v>465</v>
      </c>
      <c r="AC61" s="1072" t="s">
        <v>466</v>
      </c>
      <c r="AD61" s="1072" t="s">
        <v>467</v>
      </c>
      <c r="AE61" s="1072" t="s">
        <v>468</v>
      </c>
      <c r="AF61" s="1072" t="s">
        <v>469</v>
      </c>
      <c r="AG61" s="758"/>
      <c r="AH61" s="758"/>
      <c r="AI61" s="1072" t="s">
        <v>449</v>
      </c>
      <c r="AJ61" s="1072" t="s">
        <v>450</v>
      </c>
      <c r="AK61" s="1072" t="s">
        <v>471</v>
      </c>
      <c r="AL61" s="1072" t="s">
        <v>472</v>
      </c>
      <c r="AM61" s="1072" t="s">
        <v>473</v>
      </c>
      <c r="AN61" s="1072" t="s">
        <v>474</v>
      </c>
      <c r="AO61" s="1072" t="s">
        <v>475</v>
      </c>
      <c r="AP61" s="1072" t="s">
        <v>476</v>
      </c>
      <c r="AQ61" s="1072" t="s">
        <v>477</v>
      </c>
      <c r="AR61" s="1072" t="s">
        <v>478</v>
      </c>
      <c r="AS61" s="1072" t="s">
        <v>479</v>
      </c>
      <c r="AT61" s="1072" t="s">
        <v>480</v>
      </c>
      <c r="AU61" s="1072" t="s">
        <v>481</v>
      </c>
      <c r="AV61" s="1072" t="s">
        <v>482</v>
      </c>
      <c r="AW61" s="1072" t="s">
        <v>483</v>
      </c>
      <c r="AX61" s="1072" t="s">
        <v>484</v>
      </c>
      <c r="AY61" s="1072" t="s">
        <v>485</v>
      </c>
      <c r="AZ61" s="1072" t="s">
        <v>486</v>
      </c>
      <c r="BA61" s="1072" t="s">
        <v>487</v>
      </c>
      <c r="BB61" s="1072" t="s">
        <v>488</v>
      </c>
      <c r="BC61" s="1072" t="s">
        <v>489</v>
      </c>
      <c r="BD61" s="1072" t="s">
        <v>490</v>
      </c>
      <c r="BE61" s="1072" t="s">
        <v>491</v>
      </c>
      <c r="BF61" s="1072" t="s">
        <v>492</v>
      </c>
      <c r="BG61" s="1072" t="s">
        <v>493</v>
      </c>
      <c r="BH61" s="1072" t="s">
        <v>494</v>
      </c>
      <c r="BI61" s="758"/>
      <c r="BJ61" s="889"/>
      <c r="BK61" s="1326"/>
      <c r="BL61" s="1326"/>
    </row>
    <row r="62" spans="1:64" s="1012" customFormat="1" ht="18.5" x14ac:dyDescent="0.35">
      <c r="A62" s="758"/>
      <c r="E62" s="1020"/>
      <c r="F62" s="1020"/>
      <c r="G62" s="1020"/>
      <c r="H62" s="1020"/>
      <c r="I62" s="1020"/>
      <c r="J62" s="1020"/>
      <c r="K62" s="1020"/>
      <c r="L62" s="1020"/>
      <c r="M62" s="1020"/>
      <c r="N62" s="1020"/>
      <c r="O62" s="1020"/>
      <c r="Q62" s="1020"/>
      <c r="R62" s="1020"/>
      <c r="U62" s="1020"/>
      <c r="V62" s="1020"/>
      <c r="W62" s="1020"/>
      <c r="X62" s="1020"/>
      <c r="Y62" s="1020"/>
      <c r="AB62" s="1020"/>
      <c r="AC62" s="1020"/>
      <c r="AG62" s="758"/>
      <c r="AH62" s="758"/>
      <c r="BK62" s="761"/>
      <c r="BL62" s="1219"/>
    </row>
    <row r="63" spans="1:64" s="1012" customFormat="1" ht="18.5" x14ac:dyDescent="0.35">
      <c r="A63" s="758"/>
      <c r="E63" s="1020"/>
      <c r="F63" s="1020"/>
      <c r="G63" s="1020"/>
      <c r="H63" s="1020"/>
      <c r="I63" s="1020"/>
      <c r="J63" s="1020"/>
      <c r="K63" s="1020"/>
      <c r="L63" s="1020"/>
      <c r="M63" s="1020"/>
      <c r="N63" s="1020"/>
      <c r="O63" s="1020"/>
      <c r="Q63" s="1020"/>
      <c r="R63" s="1020"/>
      <c r="U63" s="1020"/>
      <c r="V63" s="1020"/>
      <c r="W63" s="1020"/>
      <c r="X63" s="1020"/>
      <c r="Y63" s="1020"/>
      <c r="AB63" s="1020"/>
      <c r="AC63" s="1020"/>
      <c r="AG63" s="758"/>
      <c r="AH63" s="758"/>
      <c r="BJ63" s="761"/>
      <c r="BK63" s="1556"/>
      <c r="BL63" s="1556"/>
    </row>
    <row r="64" spans="1:64" x14ac:dyDescent="0.35">
      <c r="AK64" s="928"/>
      <c r="AL64" s="1060"/>
      <c r="AM64" s="928"/>
      <c r="AN64" s="928"/>
      <c r="AO64" s="928"/>
      <c r="AP64" s="928"/>
      <c r="AQ64" s="928"/>
      <c r="AR64" s="928"/>
      <c r="AS64" s="928"/>
      <c r="AT64" s="928"/>
      <c r="AU64" s="928"/>
      <c r="AV64" s="928"/>
      <c r="AW64" s="928"/>
      <c r="AX64" s="928"/>
      <c r="AY64" s="928"/>
      <c r="AZ64" s="928"/>
      <c r="BA64" s="928"/>
      <c r="BB64" s="928"/>
      <c r="BC64" s="928"/>
      <c r="BD64" s="928"/>
      <c r="BE64" s="928"/>
      <c r="BF64" s="1060"/>
      <c r="BK64" s="1556"/>
      <c r="BL64" s="1556"/>
    </row>
    <row r="65" spans="17:64" x14ac:dyDescent="0.35">
      <c r="AK65" s="928"/>
      <c r="AL65" s="1060"/>
      <c r="AM65" s="928"/>
      <c r="AN65" s="928"/>
      <c r="AO65" s="928"/>
      <c r="AP65" s="928"/>
      <c r="AQ65" s="928"/>
      <c r="AR65" s="928"/>
      <c r="AS65" s="928"/>
      <c r="AT65" s="928"/>
      <c r="AU65" s="928"/>
      <c r="AV65" s="928"/>
      <c r="AW65" s="928"/>
      <c r="AX65" s="928"/>
      <c r="AY65" s="928"/>
      <c r="AZ65" s="928"/>
      <c r="BA65" s="928"/>
      <c r="BB65" s="928"/>
      <c r="BC65" s="928"/>
      <c r="BD65" s="928"/>
      <c r="BE65" s="928"/>
      <c r="BF65" s="1060"/>
    </row>
    <row r="66" spans="17:64" x14ac:dyDescent="0.35">
      <c r="AK66" s="928"/>
      <c r="AL66" s="1060"/>
      <c r="AM66" s="928"/>
      <c r="AN66" s="928"/>
      <c r="AO66" s="928"/>
      <c r="AP66" s="928"/>
      <c r="AQ66" s="928"/>
      <c r="AR66" s="928"/>
      <c r="AS66" s="928"/>
      <c r="AT66" s="928"/>
      <c r="AU66" s="928"/>
      <c r="AV66" s="928"/>
      <c r="AW66" s="928"/>
      <c r="AX66" s="928"/>
      <c r="AY66" s="928"/>
      <c r="AZ66" s="928"/>
      <c r="BA66" s="928"/>
      <c r="BB66" s="928"/>
      <c r="BC66" s="928"/>
      <c r="BD66" s="928"/>
      <c r="BE66" s="928"/>
      <c r="BF66" s="1060"/>
      <c r="BK66" s="1556"/>
      <c r="BL66" s="1556"/>
    </row>
    <row r="67" spans="17:64" x14ac:dyDescent="0.35">
      <c r="AK67" s="928"/>
      <c r="AL67" s="1060"/>
      <c r="AM67" s="928"/>
      <c r="AN67" s="928"/>
      <c r="AO67" s="928"/>
      <c r="AP67" s="928"/>
      <c r="AQ67" s="928"/>
      <c r="AR67" s="928"/>
      <c r="AS67" s="928"/>
      <c r="AT67" s="928"/>
      <c r="AU67" s="928"/>
      <c r="AV67" s="928"/>
      <c r="AW67" s="928"/>
      <c r="AX67" s="928"/>
      <c r="AY67" s="928"/>
      <c r="AZ67" s="928"/>
      <c r="BA67" s="928"/>
      <c r="BB67" s="928"/>
      <c r="BC67" s="928"/>
      <c r="BD67" s="928"/>
      <c r="BE67" s="928"/>
      <c r="BF67" s="1060"/>
      <c r="BK67" s="1556"/>
      <c r="BL67" s="1556"/>
    </row>
    <row r="68" spans="17:64" x14ac:dyDescent="0.35">
      <c r="AK68" s="928"/>
      <c r="AL68" s="1060"/>
      <c r="AM68" s="928"/>
      <c r="AN68" s="928"/>
      <c r="AO68" s="928"/>
      <c r="AP68" s="928"/>
      <c r="AQ68" s="928"/>
      <c r="AR68" s="928"/>
      <c r="AS68" s="928"/>
      <c r="AT68" s="928"/>
      <c r="AU68" s="928"/>
      <c r="AV68" s="928"/>
      <c r="AW68" s="928"/>
      <c r="AX68" s="928"/>
      <c r="AY68" s="928"/>
      <c r="AZ68" s="928"/>
      <c r="BA68" s="928"/>
      <c r="BB68" s="928"/>
      <c r="BC68" s="928"/>
      <c r="BD68" s="928"/>
      <c r="BE68" s="928"/>
      <c r="BF68" s="1060"/>
    </row>
    <row r="69" spans="17:64" x14ac:dyDescent="0.35">
      <c r="AK69" s="928"/>
      <c r="AL69" s="1060"/>
      <c r="AM69" s="928"/>
      <c r="AN69" s="928"/>
      <c r="AO69" s="928"/>
      <c r="AP69" s="928"/>
      <c r="AQ69" s="928"/>
      <c r="AR69" s="928"/>
      <c r="AS69" s="928"/>
      <c r="AT69" s="928"/>
      <c r="AU69" s="928"/>
      <c r="AV69" s="928"/>
      <c r="AW69" s="928"/>
      <c r="AX69" s="928"/>
      <c r="AY69" s="928"/>
      <c r="AZ69" s="928"/>
      <c r="BA69" s="928"/>
      <c r="BB69" s="928"/>
      <c r="BC69" s="928"/>
      <c r="BD69" s="928"/>
      <c r="BE69" s="928"/>
      <c r="BF69" s="1060"/>
      <c r="BK69" s="1556"/>
      <c r="BL69" s="1556"/>
    </row>
    <row r="70" spans="17:64" x14ac:dyDescent="0.35">
      <c r="AK70" s="928"/>
      <c r="AL70" s="1060"/>
      <c r="AM70" s="928"/>
      <c r="AN70" s="928"/>
      <c r="AO70" s="928"/>
      <c r="AP70" s="928"/>
      <c r="AQ70" s="928"/>
      <c r="AR70" s="928"/>
      <c r="AS70" s="928"/>
      <c r="AT70" s="928"/>
      <c r="AU70" s="928"/>
      <c r="AV70" s="928"/>
      <c r="AW70" s="928"/>
      <c r="AX70" s="928"/>
      <c r="AY70" s="928"/>
      <c r="AZ70" s="928"/>
      <c r="BA70" s="928"/>
      <c r="BB70" s="928"/>
      <c r="BC70" s="928"/>
      <c r="BD70" s="928"/>
      <c r="BE70" s="928"/>
      <c r="BF70" s="1060"/>
      <c r="BK70" s="1556"/>
      <c r="BL70" s="1556"/>
    </row>
    <row r="71" spans="17:64" x14ac:dyDescent="0.35">
      <c r="AK71" s="928"/>
      <c r="AL71" s="1060"/>
      <c r="AM71" s="928"/>
      <c r="AN71" s="928"/>
      <c r="AO71" s="928"/>
      <c r="AP71" s="928"/>
      <c r="AQ71" s="928"/>
      <c r="AR71" s="928"/>
      <c r="AS71" s="928"/>
      <c r="AT71" s="928"/>
      <c r="AU71" s="928"/>
      <c r="AV71" s="928"/>
      <c r="AW71" s="928"/>
      <c r="AX71" s="928"/>
      <c r="AY71" s="928"/>
      <c r="AZ71" s="928"/>
      <c r="BA71" s="928"/>
      <c r="BB71" s="928"/>
      <c r="BC71" s="928"/>
      <c r="BD71" s="928"/>
      <c r="BE71" s="928"/>
      <c r="BF71" s="1060"/>
      <c r="BK71" s="1556"/>
      <c r="BL71" s="1556"/>
    </row>
    <row r="72" spans="17:64" x14ac:dyDescent="0.35">
      <c r="AK72" s="928"/>
      <c r="AL72" s="1060"/>
      <c r="AM72" s="1064"/>
      <c r="AN72" s="1065"/>
      <c r="AO72" s="1064"/>
      <c r="AP72" s="1065"/>
      <c r="AQ72" s="1066"/>
      <c r="AR72" s="928"/>
      <c r="AS72" s="928"/>
      <c r="AT72" s="928"/>
      <c r="AU72" s="928"/>
      <c r="AV72" s="928"/>
      <c r="AW72" s="928"/>
      <c r="AX72" s="928"/>
      <c r="AY72" s="928"/>
      <c r="AZ72" s="928"/>
      <c r="BA72" s="928"/>
      <c r="BB72" s="928"/>
      <c r="BC72" s="928"/>
      <c r="BD72" s="928"/>
      <c r="BE72" s="928"/>
      <c r="BF72" s="1060"/>
      <c r="BK72" s="1556"/>
      <c r="BL72" s="1556"/>
    </row>
    <row r="73" spans="17:64" x14ac:dyDescent="0.35">
      <c r="AK73" s="928"/>
      <c r="AL73" s="1060"/>
      <c r="AM73" s="1066"/>
      <c r="AN73" s="1066"/>
      <c r="AO73" s="1064"/>
      <c r="AP73" s="1066"/>
      <c r="AQ73" s="1066"/>
      <c r="AR73" s="1066"/>
      <c r="AS73" s="928"/>
      <c r="AT73" s="928"/>
      <c r="AU73" s="928"/>
      <c r="AV73" s="928"/>
      <c r="AW73" s="928"/>
      <c r="AX73" s="928"/>
      <c r="AY73" s="928"/>
      <c r="AZ73" s="928"/>
      <c r="BA73" s="928"/>
      <c r="BB73" s="928"/>
      <c r="BC73" s="928"/>
      <c r="BD73" s="928"/>
      <c r="BE73" s="928"/>
      <c r="BF73" s="1060"/>
      <c r="BK73" s="1556"/>
      <c r="BL73" s="1556"/>
    </row>
    <row r="74" spans="17:64" x14ac:dyDescent="0.35">
      <c r="AK74" s="928"/>
      <c r="AL74" s="1060"/>
      <c r="AM74" s="928"/>
      <c r="AN74" s="928"/>
      <c r="AO74" s="928"/>
      <c r="AP74" s="928"/>
      <c r="AQ74" s="928"/>
      <c r="AR74" s="928"/>
      <c r="AS74" s="928"/>
      <c r="AT74" s="928"/>
      <c r="AU74" s="928"/>
      <c r="AV74" s="928"/>
      <c r="AW74" s="928"/>
      <c r="AX74" s="928"/>
      <c r="AY74" s="928"/>
      <c r="AZ74" s="928"/>
      <c r="BA74" s="928"/>
      <c r="BB74" s="928"/>
      <c r="BC74" s="928"/>
      <c r="BD74" s="928"/>
      <c r="BE74" s="928"/>
      <c r="BF74" s="1060"/>
      <c r="BK74" s="1556"/>
      <c r="BL74" s="1556"/>
    </row>
    <row r="75" spans="17:64" x14ac:dyDescent="0.35">
      <c r="AK75" s="928"/>
      <c r="AL75" s="1060"/>
      <c r="AM75" s="928"/>
      <c r="AN75" s="928"/>
      <c r="AO75" s="928"/>
      <c r="AP75" s="928"/>
      <c r="AQ75" s="928"/>
      <c r="AR75" s="928"/>
      <c r="AS75" s="928"/>
      <c r="AT75" s="928"/>
      <c r="AU75" s="928"/>
      <c r="AV75" s="928"/>
      <c r="AW75" s="928"/>
      <c r="AX75" s="928"/>
      <c r="AY75" s="928"/>
      <c r="AZ75" s="928"/>
      <c r="BA75" s="928"/>
      <c r="BB75" s="928"/>
      <c r="BC75" s="928"/>
      <c r="BD75" s="928"/>
      <c r="BE75" s="928"/>
      <c r="BF75" s="1060"/>
    </row>
    <row r="76" spans="17:64" x14ac:dyDescent="0.35">
      <c r="Q76" s="750"/>
      <c r="R76" s="750"/>
      <c r="AK76" s="928"/>
      <c r="AL76" s="1060"/>
      <c r="AM76" s="928"/>
      <c r="AN76" s="928"/>
      <c r="AO76" s="928"/>
      <c r="AP76" s="928"/>
      <c r="AQ76" s="1066"/>
      <c r="AR76" s="928"/>
      <c r="AS76" s="928"/>
      <c r="AT76" s="928"/>
      <c r="AU76" s="928"/>
      <c r="AV76" s="928"/>
      <c r="AW76" s="928"/>
      <c r="AX76" s="928"/>
      <c r="AY76" s="928"/>
      <c r="AZ76" s="928"/>
      <c r="BA76" s="928"/>
      <c r="BB76" s="928"/>
      <c r="BC76" s="928"/>
      <c r="BD76" s="928"/>
      <c r="BE76" s="928"/>
      <c r="BF76" s="1060"/>
      <c r="BK76" s="1556"/>
      <c r="BL76" s="1556"/>
    </row>
    <row r="77" spans="17:64" x14ac:dyDescent="0.35">
      <c r="AK77" s="928"/>
      <c r="AL77" s="1060"/>
      <c r="AM77" s="928"/>
      <c r="AN77" s="928"/>
      <c r="AO77" s="928"/>
      <c r="AP77" s="928"/>
      <c r="AQ77" s="928"/>
      <c r="AR77" s="928"/>
      <c r="AS77" s="928"/>
      <c r="AT77" s="928"/>
      <c r="AU77" s="928"/>
      <c r="AV77" s="928"/>
      <c r="AW77" s="928"/>
      <c r="AX77" s="928"/>
      <c r="AY77" s="928"/>
      <c r="AZ77" s="928"/>
      <c r="BA77" s="928"/>
      <c r="BB77" s="928"/>
      <c r="BC77" s="928"/>
      <c r="BD77" s="928"/>
      <c r="BE77" s="928"/>
      <c r="BF77" s="1060"/>
      <c r="BK77" s="1556"/>
      <c r="BL77" s="1556"/>
    </row>
    <row r="78" spans="17:64" x14ac:dyDescent="0.35">
      <c r="AK78" s="928"/>
      <c r="AL78" s="1060"/>
      <c r="AM78" s="928"/>
      <c r="AN78" s="928"/>
      <c r="AO78" s="928"/>
      <c r="AP78" s="928"/>
      <c r="AQ78" s="928"/>
      <c r="AR78" s="928"/>
      <c r="AS78" s="928"/>
      <c r="AT78" s="928"/>
      <c r="AU78" s="928"/>
      <c r="AV78" s="928"/>
      <c r="AW78" s="928"/>
      <c r="AX78" s="928"/>
      <c r="AY78" s="928"/>
      <c r="AZ78" s="928"/>
      <c r="BA78" s="928"/>
      <c r="BB78" s="928"/>
      <c r="BC78" s="928"/>
      <c r="BD78" s="928"/>
      <c r="BE78" s="928"/>
      <c r="BF78" s="1060"/>
      <c r="BK78" s="1556"/>
      <c r="BL78" s="1556"/>
    </row>
    <row r="79" spans="17:64" x14ac:dyDescent="0.35">
      <c r="AK79" s="928"/>
      <c r="AL79" s="1060"/>
      <c r="AM79" s="928"/>
      <c r="AN79" s="928"/>
      <c r="AO79" s="928"/>
      <c r="AP79" s="928"/>
      <c r="AQ79" s="928"/>
      <c r="AR79" s="928"/>
      <c r="AS79" s="928"/>
      <c r="AT79" s="928"/>
      <c r="AU79" s="928"/>
      <c r="AV79" s="928"/>
      <c r="AW79" s="928"/>
      <c r="AX79" s="928"/>
      <c r="AY79" s="928"/>
      <c r="AZ79" s="928"/>
      <c r="BA79" s="928"/>
      <c r="BB79" s="928"/>
      <c r="BC79" s="928"/>
      <c r="BD79" s="928"/>
      <c r="BE79" s="928"/>
      <c r="BF79" s="1060"/>
      <c r="BK79" s="1556"/>
      <c r="BL79" s="1556"/>
    </row>
    <row r="80" spans="17:64" x14ac:dyDescent="0.35">
      <c r="AK80" s="928"/>
      <c r="AL80" s="1060"/>
      <c r="AM80" s="928"/>
      <c r="AN80" s="928"/>
      <c r="AO80" s="928"/>
      <c r="AP80" s="928"/>
      <c r="AQ80" s="928"/>
      <c r="AR80" s="928"/>
      <c r="AS80" s="928"/>
      <c r="AT80" s="928"/>
      <c r="AU80" s="928"/>
      <c r="AV80" s="928"/>
      <c r="AW80" s="928"/>
      <c r="AX80" s="928"/>
      <c r="AY80" s="928"/>
      <c r="AZ80" s="928"/>
      <c r="BA80" s="928"/>
      <c r="BB80" s="928"/>
      <c r="BC80" s="928"/>
      <c r="BD80" s="928"/>
      <c r="BE80" s="928"/>
      <c r="BF80" s="1060"/>
      <c r="BK80" s="1556"/>
      <c r="BL80" s="1556"/>
    </row>
    <row r="81" spans="37:64" x14ac:dyDescent="0.35">
      <c r="AK81" s="928"/>
      <c r="AL81" s="1060"/>
      <c r="AM81" s="928"/>
      <c r="AN81" s="928"/>
      <c r="AO81" s="928"/>
      <c r="AP81" s="928"/>
      <c r="AQ81" s="928"/>
      <c r="AR81" s="928"/>
      <c r="AS81" s="928"/>
      <c r="AT81" s="928"/>
      <c r="AU81" s="928"/>
      <c r="AV81" s="928"/>
      <c r="AW81" s="928"/>
      <c r="AX81" s="928"/>
      <c r="AY81" s="928"/>
      <c r="AZ81" s="928"/>
      <c r="BA81" s="928"/>
      <c r="BB81" s="928"/>
      <c r="BC81" s="928"/>
      <c r="BD81" s="928"/>
      <c r="BE81" s="928"/>
      <c r="BF81" s="1060"/>
      <c r="BK81" s="1556"/>
      <c r="BL81" s="1556"/>
    </row>
    <row r="82" spans="37:64" x14ac:dyDescent="0.35">
      <c r="AK82" s="928"/>
      <c r="AL82" s="1060"/>
      <c r="AM82" s="928"/>
      <c r="AN82" s="928"/>
      <c r="AO82" s="928"/>
      <c r="AP82" s="928"/>
      <c r="AQ82" s="928"/>
      <c r="AR82" s="928"/>
      <c r="AS82" s="928"/>
      <c r="AT82" s="928"/>
      <c r="AU82" s="928"/>
      <c r="AV82" s="928"/>
      <c r="AW82" s="928"/>
      <c r="AX82" s="928"/>
      <c r="AY82" s="928"/>
      <c r="AZ82" s="928"/>
      <c r="BA82" s="928"/>
      <c r="BB82" s="928"/>
      <c r="BC82" s="928"/>
      <c r="BD82" s="928"/>
      <c r="BE82" s="928"/>
      <c r="BF82" s="1060"/>
    </row>
    <row r="83" spans="37:64" x14ac:dyDescent="0.35">
      <c r="AK83" s="928"/>
      <c r="AL83" s="1060"/>
      <c r="AM83" s="928"/>
      <c r="AN83" s="928"/>
      <c r="AO83" s="928"/>
      <c r="AP83" s="928"/>
      <c r="AQ83" s="928"/>
      <c r="AR83" s="928"/>
      <c r="AS83" s="928"/>
      <c r="AT83" s="928"/>
      <c r="AU83" s="928"/>
      <c r="AV83" s="928"/>
      <c r="AW83" s="928"/>
      <c r="AX83" s="928"/>
      <c r="AY83" s="928"/>
      <c r="AZ83" s="928"/>
      <c r="BA83" s="928"/>
      <c r="BB83" s="928"/>
      <c r="BC83" s="928"/>
      <c r="BD83" s="1068"/>
      <c r="BE83" s="1069"/>
      <c r="BF83" s="1060"/>
      <c r="BK83" s="1556"/>
      <c r="BL83" s="1556"/>
    </row>
    <row r="84" spans="37:64" x14ac:dyDescent="0.35">
      <c r="AK84" s="928"/>
      <c r="AL84" s="1060"/>
      <c r="AM84" s="928"/>
      <c r="AN84" s="928"/>
      <c r="AO84" s="928"/>
      <c r="AP84" s="928"/>
      <c r="AQ84" s="928"/>
      <c r="AR84" s="928"/>
      <c r="AS84" s="928"/>
      <c r="AT84" s="928"/>
      <c r="AU84" s="928"/>
      <c r="AV84" s="928"/>
      <c r="AW84" s="928"/>
      <c r="AX84" s="928"/>
      <c r="AY84" s="928"/>
      <c r="AZ84" s="928"/>
      <c r="BA84" s="928"/>
      <c r="BB84" s="928"/>
      <c r="BC84" s="928"/>
      <c r="BD84" s="1068"/>
      <c r="BE84" s="1068"/>
      <c r="BF84" s="1060"/>
      <c r="BK84" s="1556"/>
      <c r="BL84" s="1556"/>
    </row>
    <row r="85" spans="37:64" x14ac:dyDescent="0.35">
      <c r="AK85" s="928"/>
      <c r="AL85" s="1060"/>
      <c r="AM85" s="928"/>
      <c r="AN85" s="928"/>
      <c r="AO85" s="928"/>
      <c r="AP85" s="928"/>
      <c r="AQ85" s="928"/>
      <c r="AR85" s="928"/>
      <c r="AS85" s="928"/>
      <c r="AT85" s="928"/>
      <c r="AU85" s="928"/>
      <c r="AV85" s="928"/>
      <c r="AW85" s="928"/>
      <c r="AX85" s="928"/>
      <c r="AY85" s="928"/>
      <c r="AZ85" s="928"/>
      <c r="BA85" s="928"/>
      <c r="BB85" s="928"/>
      <c r="BC85" s="928"/>
      <c r="BD85" s="1068"/>
      <c r="BE85" s="1068"/>
      <c r="BF85" s="1060"/>
      <c r="BK85" s="1556"/>
      <c r="BL85" s="1556"/>
    </row>
    <row r="86" spans="37:64" x14ac:dyDescent="0.35">
      <c r="AK86" s="928"/>
      <c r="AL86" s="1060"/>
      <c r="AM86" s="928"/>
      <c r="AN86" s="928"/>
      <c r="AO86" s="928"/>
      <c r="AP86" s="928"/>
      <c r="AQ86" s="928"/>
      <c r="AR86" s="928"/>
      <c r="AS86" s="928"/>
      <c r="AT86" s="928"/>
      <c r="AU86" s="928"/>
      <c r="AV86" s="928"/>
      <c r="AW86" s="928"/>
      <c r="AX86" s="928"/>
      <c r="AY86" s="928"/>
      <c r="AZ86" s="928"/>
      <c r="BA86" s="928"/>
      <c r="BB86" s="928"/>
      <c r="BC86" s="928"/>
      <c r="BD86" s="1068"/>
      <c r="BE86" s="1070"/>
      <c r="BF86" s="1060"/>
      <c r="BK86" s="1556"/>
      <c r="BL86" s="1556"/>
    </row>
    <row r="87" spans="37:64" x14ac:dyDescent="0.35">
      <c r="AK87" s="928"/>
      <c r="AL87" s="1060"/>
      <c r="AM87" s="928"/>
      <c r="AN87" s="928"/>
      <c r="AO87" s="928"/>
      <c r="AP87" s="928"/>
      <c r="AQ87" s="928"/>
      <c r="AR87" s="928"/>
      <c r="AS87" s="928"/>
      <c r="AT87" s="928"/>
      <c r="AU87" s="928"/>
      <c r="AV87" s="928"/>
      <c r="AW87" s="928"/>
      <c r="AX87" s="928"/>
      <c r="AY87" s="928"/>
      <c r="AZ87" s="928"/>
      <c r="BA87" s="928"/>
      <c r="BB87" s="928"/>
      <c r="BC87" s="928"/>
      <c r="BD87" s="1068"/>
      <c r="BE87" s="1070"/>
      <c r="BF87" s="1060"/>
      <c r="BK87" s="1556"/>
      <c r="BL87" s="1556"/>
    </row>
    <row r="88" spans="37:64" x14ac:dyDescent="0.35">
      <c r="AK88" s="928"/>
      <c r="AL88" s="1060"/>
      <c r="AM88" s="928"/>
      <c r="AN88" s="928"/>
      <c r="AO88" s="928"/>
      <c r="AP88" s="928"/>
      <c r="AQ88" s="928"/>
      <c r="AR88" s="928"/>
      <c r="AS88" s="928"/>
      <c r="AT88" s="928"/>
      <c r="AU88" s="928"/>
      <c r="AV88" s="928"/>
      <c r="AW88" s="928"/>
      <c r="AX88" s="928"/>
      <c r="AY88" s="928"/>
      <c r="AZ88" s="928"/>
      <c r="BA88" s="928"/>
      <c r="BB88" s="928"/>
      <c r="BC88" s="928"/>
      <c r="BD88" s="1068"/>
      <c r="BE88" s="1070"/>
      <c r="BF88" s="1060"/>
      <c r="BK88" s="1556"/>
      <c r="BL88" s="1556"/>
    </row>
    <row r="89" spans="37:64" x14ac:dyDescent="0.35">
      <c r="AK89" s="928"/>
      <c r="AL89" s="1060"/>
      <c r="AM89" s="928"/>
      <c r="AN89" s="928"/>
      <c r="AO89" s="928"/>
      <c r="AP89" s="928"/>
      <c r="AQ89" s="928"/>
      <c r="AR89" s="928"/>
      <c r="AS89" s="928"/>
      <c r="AT89" s="928"/>
      <c r="AU89" s="928"/>
      <c r="AV89" s="928"/>
      <c r="AW89" s="928"/>
      <c r="AX89" s="928"/>
      <c r="AY89" s="928"/>
      <c r="AZ89" s="928"/>
      <c r="BA89" s="928"/>
      <c r="BB89" s="928"/>
      <c r="BC89" s="928"/>
      <c r="BD89" s="1068"/>
      <c r="BE89" s="1068"/>
      <c r="BF89" s="1060"/>
      <c r="BK89" s="1556"/>
      <c r="BL89" s="1556"/>
    </row>
    <row r="90" spans="37:64" x14ac:dyDescent="0.35">
      <c r="AK90" s="928"/>
      <c r="AL90" s="1060"/>
      <c r="AM90" s="928"/>
      <c r="AN90" s="928"/>
      <c r="AO90" s="928"/>
      <c r="AP90" s="928"/>
      <c r="AQ90" s="928"/>
      <c r="AR90" s="928"/>
      <c r="AS90" s="928"/>
      <c r="AT90" s="928"/>
      <c r="AU90" s="928"/>
      <c r="AV90" s="928"/>
      <c r="AW90" s="928"/>
      <c r="AX90" s="928"/>
      <c r="AY90" s="928"/>
      <c r="AZ90" s="928"/>
      <c r="BA90" s="928"/>
      <c r="BB90" s="928"/>
      <c r="BC90" s="928"/>
      <c r="BD90" s="1068"/>
      <c r="BE90" s="1070"/>
      <c r="BF90" s="1060"/>
    </row>
    <row r="91" spans="37:64" x14ac:dyDescent="0.35">
      <c r="AK91" s="928"/>
      <c r="AL91" s="1060"/>
      <c r="AM91" s="928"/>
      <c r="AN91" s="928"/>
      <c r="AO91" s="928"/>
      <c r="AP91" s="928"/>
      <c r="AQ91" s="928"/>
      <c r="AR91" s="928"/>
      <c r="AS91" s="928"/>
      <c r="AT91" s="928"/>
      <c r="AU91" s="928"/>
      <c r="AV91" s="928"/>
      <c r="AW91" s="928"/>
      <c r="AX91" s="928"/>
      <c r="AY91" s="928"/>
      <c r="AZ91" s="928"/>
      <c r="BA91" s="928"/>
      <c r="BB91" s="928"/>
      <c r="BC91" s="928"/>
      <c r="BD91" s="1068"/>
      <c r="BE91" s="1068"/>
      <c r="BF91" s="1060"/>
    </row>
    <row r="92" spans="37:64" x14ac:dyDescent="0.35">
      <c r="AK92" s="928"/>
      <c r="AL92" s="1060"/>
      <c r="AM92" s="928"/>
      <c r="AN92" s="928"/>
      <c r="AO92" s="928"/>
      <c r="AP92" s="928"/>
      <c r="AQ92" s="928"/>
      <c r="AR92" s="928"/>
      <c r="AS92" s="928"/>
      <c r="AT92" s="928"/>
      <c r="AU92" s="928"/>
      <c r="AV92" s="928"/>
      <c r="AW92" s="928"/>
      <c r="AX92" s="928"/>
      <c r="AY92" s="928"/>
      <c r="AZ92" s="928"/>
      <c r="BA92" s="928"/>
      <c r="BB92" s="928"/>
      <c r="BC92" s="928"/>
      <c r="BD92" s="1068"/>
      <c r="BE92" s="1068"/>
      <c r="BF92" s="1060"/>
    </row>
    <row r="93" spans="37:64" x14ac:dyDescent="0.35">
      <c r="AK93" s="928"/>
      <c r="AL93" s="1060"/>
      <c r="AM93" s="928"/>
      <c r="AN93" s="928"/>
      <c r="AO93" s="928"/>
      <c r="AP93" s="928"/>
      <c r="AQ93" s="928"/>
      <c r="AR93" s="928"/>
      <c r="AS93" s="928"/>
      <c r="AT93" s="928"/>
      <c r="AU93" s="928"/>
      <c r="AV93" s="928"/>
      <c r="AW93" s="928"/>
      <c r="AX93" s="928"/>
      <c r="AY93" s="928"/>
      <c r="AZ93" s="928"/>
      <c r="BA93" s="928"/>
      <c r="BB93" s="928"/>
      <c r="BC93" s="928"/>
      <c r="BD93" s="928"/>
      <c r="BE93" s="928"/>
      <c r="BF93" s="1060"/>
    </row>
    <row r="94" spans="37:64" x14ac:dyDescent="0.35">
      <c r="AK94" s="928"/>
      <c r="AL94" s="1060"/>
      <c r="AM94" s="928"/>
      <c r="AN94" s="928"/>
      <c r="AO94" s="928"/>
      <c r="AP94" s="928"/>
      <c r="AQ94" s="928"/>
      <c r="AR94" s="928"/>
      <c r="AS94" s="928"/>
      <c r="AT94" s="928"/>
      <c r="AU94" s="928"/>
      <c r="AV94" s="928"/>
      <c r="AW94" s="928"/>
      <c r="AX94" s="928"/>
      <c r="AY94" s="928"/>
      <c r="AZ94" s="928"/>
      <c r="BA94" s="928"/>
      <c r="BB94" s="928"/>
      <c r="BC94" s="928"/>
      <c r="BD94" s="928"/>
      <c r="BE94" s="928"/>
      <c r="BF94" s="1060"/>
    </row>
    <row r="95" spans="37:64" x14ac:dyDescent="0.35">
      <c r="AK95" s="928"/>
      <c r="AL95" s="1060"/>
      <c r="AM95" s="928"/>
      <c r="AN95" s="928"/>
      <c r="AO95" s="928"/>
      <c r="AP95" s="928"/>
      <c r="AQ95" s="928"/>
      <c r="AR95" s="928"/>
      <c r="AS95" s="928"/>
      <c r="AT95" s="928"/>
      <c r="AU95" s="928"/>
      <c r="AV95" s="928"/>
      <c r="AW95" s="928"/>
      <c r="AX95" s="928"/>
      <c r="AY95" s="928"/>
      <c r="AZ95" s="928"/>
      <c r="BA95" s="928"/>
      <c r="BB95" s="928"/>
      <c r="BC95" s="928"/>
      <c r="BD95" s="928"/>
      <c r="BE95" s="928"/>
      <c r="BF95" s="1060"/>
    </row>
    <row r="96" spans="37:64" x14ac:dyDescent="0.35">
      <c r="AK96" s="928"/>
      <c r="AL96" s="1060"/>
      <c r="AM96" s="928"/>
      <c r="AN96" s="928"/>
      <c r="AO96" s="928"/>
      <c r="AP96" s="928"/>
      <c r="AQ96" s="928"/>
      <c r="AR96" s="928"/>
      <c r="AS96" s="928"/>
      <c r="AT96" s="928"/>
      <c r="AU96" s="928"/>
      <c r="AV96" s="928"/>
      <c r="AW96" s="928"/>
      <c r="AX96" s="928"/>
      <c r="AY96" s="928"/>
      <c r="AZ96" s="928"/>
      <c r="BA96" s="928"/>
      <c r="BB96" s="928"/>
      <c r="BC96" s="928"/>
      <c r="BD96" s="928"/>
      <c r="BE96" s="928"/>
      <c r="BF96" s="1060"/>
    </row>
    <row r="97" spans="37:58" x14ac:dyDescent="0.35">
      <c r="AK97" s="928"/>
      <c r="AL97" s="1060"/>
      <c r="AM97" s="928"/>
      <c r="AN97" s="928"/>
      <c r="AO97" s="928"/>
      <c r="AP97" s="928"/>
      <c r="AQ97" s="928"/>
      <c r="AR97" s="928"/>
      <c r="AS97" s="928"/>
      <c r="AT97" s="928"/>
      <c r="AU97" s="928"/>
      <c r="AV97" s="928"/>
      <c r="AW97" s="928"/>
      <c r="AX97" s="928"/>
      <c r="AY97" s="928"/>
      <c r="AZ97" s="928"/>
      <c r="BA97" s="928"/>
      <c r="BB97" s="928"/>
      <c r="BC97" s="928"/>
      <c r="BD97" s="928"/>
      <c r="BE97" s="928"/>
      <c r="BF97" s="1060"/>
    </row>
    <row r="98" spans="37:58" x14ac:dyDescent="0.35">
      <c r="AK98" s="928"/>
      <c r="AL98" s="1060"/>
      <c r="AM98" s="928"/>
      <c r="AN98" s="928"/>
      <c r="AO98" s="928"/>
      <c r="AP98" s="928"/>
      <c r="AQ98" s="928"/>
      <c r="AR98" s="928"/>
      <c r="AS98" s="928"/>
      <c r="AT98" s="928"/>
      <c r="AU98" s="928"/>
      <c r="AV98" s="928"/>
      <c r="AW98" s="928"/>
      <c r="AX98" s="928"/>
      <c r="AY98" s="928"/>
      <c r="AZ98" s="928"/>
      <c r="BA98" s="928"/>
      <c r="BB98" s="928"/>
      <c r="BC98" s="928"/>
      <c r="BD98" s="928"/>
      <c r="BE98" s="928"/>
      <c r="BF98" s="1060"/>
    </row>
    <row r="99" spans="37:58" x14ac:dyDescent="0.35">
      <c r="AK99" s="928"/>
      <c r="AL99" s="1060"/>
      <c r="AM99" s="928"/>
      <c r="AN99" s="928"/>
      <c r="AO99" s="928"/>
      <c r="AP99" s="928"/>
      <c r="AQ99" s="928"/>
      <c r="AR99" s="928"/>
      <c r="AS99" s="928"/>
      <c r="AT99" s="928"/>
      <c r="AU99" s="928"/>
      <c r="AV99" s="928"/>
      <c r="AW99" s="928"/>
      <c r="AX99" s="928"/>
      <c r="AY99" s="928"/>
      <c r="AZ99" s="928"/>
      <c r="BA99" s="928"/>
      <c r="BB99" s="928"/>
      <c r="BC99" s="928"/>
      <c r="BD99" s="928"/>
      <c r="BE99" s="928"/>
      <c r="BF99" s="1060"/>
    </row>
    <row r="100" spans="37:58" x14ac:dyDescent="0.35">
      <c r="AK100" s="928"/>
      <c r="AL100" s="1060"/>
      <c r="AM100" s="928"/>
      <c r="AN100" s="928"/>
      <c r="AO100" s="928"/>
      <c r="AP100" s="928"/>
      <c r="AQ100" s="928"/>
      <c r="AR100" s="928"/>
      <c r="AS100" s="928"/>
      <c r="AT100" s="928"/>
      <c r="AU100" s="928"/>
      <c r="AV100" s="928"/>
      <c r="AW100" s="928"/>
      <c r="AX100" s="928"/>
      <c r="AY100" s="928"/>
      <c r="AZ100" s="928"/>
      <c r="BA100" s="928"/>
      <c r="BB100" s="928"/>
      <c r="BC100" s="928"/>
      <c r="BD100" s="928"/>
      <c r="BE100" s="928"/>
      <c r="BF100" s="1060"/>
    </row>
    <row r="101" spans="37:58" x14ac:dyDescent="0.35">
      <c r="AK101" s="928"/>
      <c r="AL101" s="1060"/>
      <c r="AM101" s="928"/>
      <c r="AN101" s="928"/>
      <c r="AO101" s="928"/>
      <c r="AP101" s="928"/>
      <c r="AQ101" s="928"/>
      <c r="AR101" s="928"/>
      <c r="AS101" s="928"/>
      <c r="AT101" s="928"/>
      <c r="AU101" s="928"/>
      <c r="AV101" s="928"/>
      <c r="AW101" s="928"/>
      <c r="AX101" s="928"/>
      <c r="AY101" s="928"/>
      <c r="AZ101" s="928"/>
      <c r="BA101" s="928"/>
      <c r="BB101" s="928"/>
      <c r="BC101" s="928"/>
      <c r="BD101" s="928"/>
      <c r="BE101" s="928"/>
      <c r="BF101" s="1060"/>
    </row>
    <row r="102" spans="37:58" x14ac:dyDescent="0.35">
      <c r="AK102" s="928"/>
      <c r="AL102" s="1060"/>
      <c r="AM102" s="928"/>
      <c r="AN102" s="928"/>
      <c r="AO102" s="928"/>
      <c r="AP102" s="928"/>
      <c r="AQ102" s="928"/>
      <c r="AR102" s="928"/>
      <c r="AS102" s="928"/>
      <c r="AT102" s="928"/>
      <c r="AU102" s="928"/>
      <c r="AV102" s="928"/>
      <c r="AW102" s="928"/>
      <c r="AX102" s="928"/>
      <c r="AY102" s="928"/>
      <c r="AZ102" s="928"/>
      <c r="BA102" s="928"/>
      <c r="BB102" s="928"/>
      <c r="BC102" s="928"/>
      <c r="BD102" s="928"/>
      <c r="BE102" s="928"/>
      <c r="BF102" s="1060"/>
    </row>
    <row r="103" spans="37:58" x14ac:dyDescent="0.35">
      <c r="AK103" s="928"/>
      <c r="AL103" s="1060"/>
      <c r="AM103" s="928"/>
      <c r="AN103" s="928"/>
      <c r="AO103" s="928"/>
      <c r="AP103" s="928"/>
      <c r="AQ103" s="928"/>
      <c r="AR103" s="928"/>
      <c r="AS103" s="928"/>
      <c r="AT103" s="928"/>
      <c r="AU103" s="928"/>
      <c r="AV103" s="928"/>
      <c r="AW103" s="928"/>
      <c r="AX103" s="928"/>
      <c r="AY103" s="928"/>
      <c r="AZ103" s="928"/>
      <c r="BA103" s="928"/>
      <c r="BB103" s="928"/>
      <c r="BC103" s="928"/>
      <c r="BD103" s="928"/>
      <c r="BE103" s="928"/>
      <c r="BF103" s="1060"/>
    </row>
    <row r="104" spans="37:58" x14ac:dyDescent="0.35">
      <c r="AK104" s="928"/>
      <c r="AL104" s="1060"/>
      <c r="AM104" s="928"/>
      <c r="AN104" s="928"/>
      <c r="AO104" s="928"/>
      <c r="AP104" s="928"/>
      <c r="AQ104" s="928"/>
      <c r="AR104" s="928"/>
      <c r="AS104" s="928"/>
      <c r="AT104" s="928"/>
      <c r="AU104" s="928"/>
      <c r="AV104" s="928"/>
      <c r="AW104" s="928"/>
      <c r="AX104" s="928"/>
      <c r="AY104" s="928"/>
      <c r="AZ104" s="928"/>
      <c r="BA104" s="928"/>
      <c r="BB104" s="928"/>
      <c r="BC104" s="928"/>
      <c r="BD104" s="928"/>
      <c r="BE104" s="928"/>
      <c r="BF104" s="1060"/>
    </row>
    <row r="105" spans="37:58" x14ac:dyDescent="0.35">
      <c r="AK105" s="928"/>
      <c r="AL105" s="1060"/>
      <c r="AM105" s="928"/>
      <c r="AN105" s="928"/>
      <c r="AO105" s="928"/>
      <c r="AP105" s="928"/>
      <c r="AQ105" s="928"/>
      <c r="AR105" s="928"/>
      <c r="AS105" s="928"/>
      <c r="AT105" s="928"/>
      <c r="AU105" s="928"/>
      <c r="AV105" s="928"/>
      <c r="AW105" s="928"/>
      <c r="AX105" s="928"/>
      <c r="AY105" s="928"/>
      <c r="AZ105" s="928"/>
      <c r="BA105" s="928"/>
      <c r="BB105" s="928"/>
      <c r="BC105" s="928"/>
      <c r="BD105" s="928"/>
      <c r="BE105" s="928"/>
      <c r="BF105" s="1060"/>
    </row>
    <row r="106" spans="37:58" x14ac:dyDescent="0.35">
      <c r="AK106" s="928"/>
      <c r="AL106" s="1060"/>
      <c r="AM106" s="928"/>
      <c r="AN106" s="928"/>
      <c r="AO106" s="928"/>
      <c r="AP106" s="928"/>
      <c r="AQ106" s="928"/>
      <c r="AR106" s="928"/>
      <c r="AS106" s="928"/>
      <c r="AT106" s="928"/>
      <c r="AU106" s="928"/>
      <c r="AV106" s="928"/>
      <c r="AW106" s="928"/>
      <c r="AX106" s="928"/>
      <c r="AY106" s="928"/>
      <c r="AZ106" s="928"/>
      <c r="BA106" s="928"/>
      <c r="BB106" s="928"/>
      <c r="BC106" s="928"/>
      <c r="BD106" s="928"/>
      <c r="BE106" s="928"/>
      <c r="BF106" s="1060"/>
    </row>
    <row r="107" spans="37:58" x14ac:dyDescent="0.35">
      <c r="AK107" s="928"/>
      <c r="AL107" s="1060"/>
      <c r="AM107" s="928"/>
      <c r="AN107" s="928"/>
      <c r="AO107" s="928"/>
      <c r="AP107" s="928"/>
      <c r="AQ107" s="928"/>
      <c r="AR107" s="928"/>
      <c r="AS107" s="928"/>
      <c r="AT107" s="928"/>
      <c r="AU107" s="928"/>
      <c r="AV107" s="928"/>
      <c r="AW107" s="928"/>
      <c r="AX107" s="928"/>
      <c r="AY107" s="928"/>
      <c r="AZ107" s="928"/>
      <c r="BA107" s="928"/>
      <c r="BB107" s="928"/>
      <c r="BC107" s="928"/>
      <c r="BD107" s="928"/>
      <c r="BE107" s="928"/>
      <c r="BF107" s="1060"/>
    </row>
    <row r="108" spans="37:58" x14ac:dyDescent="0.35">
      <c r="AK108" s="928"/>
      <c r="AL108" s="1060"/>
      <c r="AM108" s="928"/>
      <c r="AN108" s="928"/>
      <c r="AO108" s="928"/>
      <c r="AP108" s="928"/>
      <c r="AQ108" s="928"/>
      <c r="AR108" s="928"/>
      <c r="AS108" s="928"/>
      <c r="AT108" s="928"/>
      <c r="AU108" s="928"/>
      <c r="AV108" s="928"/>
      <c r="AW108" s="928"/>
      <c r="AX108" s="928"/>
      <c r="AY108" s="928"/>
      <c r="AZ108" s="928"/>
      <c r="BA108" s="928"/>
      <c r="BB108" s="928"/>
      <c r="BC108" s="928"/>
      <c r="BD108" s="928"/>
      <c r="BE108" s="928"/>
      <c r="BF108" s="1060"/>
    </row>
    <row r="109" spans="37:58" x14ac:dyDescent="0.35">
      <c r="AK109" s="928"/>
      <c r="AL109" s="1060"/>
      <c r="AM109" s="928"/>
      <c r="AN109" s="928"/>
      <c r="AO109" s="928"/>
      <c r="AP109" s="928"/>
      <c r="AQ109" s="928"/>
      <c r="AR109" s="928"/>
      <c r="AS109" s="928"/>
      <c r="AT109" s="928"/>
      <c r="AU109" s="928"/>
      <c r="AV109" s="928"/>
      <c r="AW109" s="928"/>
      <c r="AX109" s="928"/>
      <c r="AY109" s="928"/>
      <c r="AZ109" s="928"/>
      <c r="BA109" s="928"/>
      <c r="BB109" s="928"/>
      <c r="BC109" s="928"/>
      <c r="BD109" s="928"/>
      <c r="BE109" s="928"/>
      <c r="BF109" s="1060"/>
    </row>
    <row r="110" spans="37:58" x14ac:dyDescent="0.35">
      <c r="AK110" s="928"/>
      <c r="AL110" s="1060"/>
      <c r="AM110" s="928"/>
      <c r="AN110" s="928"/>
      <c r="AO110" s="928"/>
      <c r="AP110" s="928"/>
      <c r="AQ110" s="928"/>
      <c r="AR110" s="928"/>
      <c r="AS110" s="928"/>
      <c r="AT110" s="928"/>
      <c r="AU110" s="928"/>
      <c r="AV110" s="928"/>
      <c r="AW110" s="928"/>
      <c r="AX110" s="928"/>
      <c r="AY110" s="928"/>
      <c r="AZ110" s="928"/>
      <c r="BA110" s="928"/>
      <c r="BB110" s="928"/>
      <c r="BC110" s="928"/>
      <c r="BD110" s="928"/>
      <c r="BE110" s="928"/>
      <c r="BF110" s="1060"/>
    </row>
    <row r="111" spans="37:58" x14ac:dyDescent="0.35">
      <c r="AK111" s="928"/>
      <c r="AL111" s="1060"/>
      <c r="AM111" s="928"/>
      <c r="AN111" s="928"/>
      <c r="AO111" s="928"/>
      <c r="AP111" s="928"/>
      <c r="AQ111" s="928"/>
      <c r="AR111" s="928"/>
      <c r="AS111" s="928"/>
      <c r="AT111" s="928"/>
      <c r="AU111" s="928"/>
      <c r="AV111" s="928"/>
      <c r="AW111" s="928"/>
      <c r="AX111" s="928"/>
      <c r="AY111" s="928"/>
      <c r="AZ111" s="928"/>
      <c r="BA111" s="928"/>
      <c r="BB111" s="928"/>
      <c r="BC111" s="928"/>
      <c r="BD111" s="928"/>
      <c r="BE111" s="928"/>
      <c r="BF111" s="1060"/>
    </row>
    <row r="112" spans="37:58" x14ac:dyDescent="0.35">
      <c r="AK112" s="928"/>
      <c r="AL112" s="1060"/>
      <c r="AM112" s="928"/>
      <c r="AN112" s="928"/>
      <c r="AO112" s="928"/>
      <c r="AP112" s="928"/>
      <c r="AQ112" s="928"/>
      <c r="AR112" s="928"/>
      <c r="AS112" s="928"/>
      <c r="AT112" s="928"/>
      <c r="AU112" s="928"/>
      <c r="AV112" s="928"/>
      <c r="AW112" s="928"/>
      <c r="AX112" s="928"/>
      <c r="AY112" s="928"/>
      <c r="AZ112" s="928"/>
      <c r="BA112" s="928"/>
      <c r="BB112" s="928"/>
      <c r="BC112" s="928"/>
      <c r="BD112" s="928"/>
      <c r="BE112" s="928"/>
      <c r="BF112" s="1060"/>
    </row>
    <row r="113" spans="37:58" x14ac:dyDescent="0.35">
      <c r="AK113" s="928"/>
      <c r="AL113" s="1060"/>
      <c r="AM113" s="928"/>
      <c r="AN113" s="928"/>
      <c r="AO113" s="928"/>
      <c r="AP113" s="928"/>
      <c r="AQ113" s="928"/>
      <c r="AR113" s="928"/>
      <c r="AS113" s="928"/>
      <c r="AT113" s="928"/>
      <c r="AU113" s="928"/>
      <c r="AV113" s="928"/>
      <c r="AW113" s="928"/>
      <c r="AX113" s="928"/>
      <c r="AY113" s="928"/>
      <c r="AZ113" s="928"/>
      <c r="BA113" s="928"/>
      <c r="BB113" s="928"/>
      <c r="BC113" s="928"/>
      <c r="BD113" s="928"/>
      <c r="BE113" s="928"/>
      <c r="BF113" s="1060"/>
    </row>
    <row r="114" spans="37:58" x14ac:dyDescent="0.35">
      <c r="AK114" s="928"/>
      <c r="AL114" s="1060"/>
      <c r="AM114" s="928"/>
      <c r="AN114" s="928"/>
      <c r="AO114" s="928"/>
      <c r="AP114" s="928"/>
      <c r="AQ114" s="928"/>
      <c r="AR114" s="928"/>
      <c r="AS114" s="928"/>
      <c r="AT114" s="928"/>
      <c r="AU114" s="928"/>
      <c r="AV114" s="928"/>
      <c r="AW114" s="928"/>
      <c r="AX114" s="928"/>
      <c r="AY114" s="928"/>
      <c r="AZ114" s="928"/>
      <c r="BA114" s="928"/>
      <c r="BB114" s="928"/>
      <c r="BC114" s="928"/>
      <c r="BD114" s="928"/>
      <c r="BE114" s="928"/>
      <c r="BF114" s="1060"/>
    </row>
    <row r="115" spans="37:58" x14ac:dyDescent="0.35">
      <c r="AK115" s="928"/>
      <c r="AL115" s="1060"/>
      <c r="AM115" s="928"/>
      <c r="AN115" s="928"/>
      <c r="AO115" s="928"/>
      <c r="AP115" s="928"/>
      <c r="AQ115" s="928"/>
      <c r="AR115" s="928"/>
      <c r="AS115" s="928"/>
      <c r="AT115" s="928"/>
      <c r="AU115" s="928"/>
      <c r="AV115" s="928"/>
      <c r="AW115" s="928"/>
      <c r="AX115" s="928"/>
      <c r="AY115" s="928"/>
      <c r="AZ115" s="928"/>
      <c r="BA115" s="928"/>
      <c r="BB115" s="928"/>
      <c r="BC115" s="928"/>
      <c r="BD115" s="928"/>
      <c r="BE115" s="928"/>
      <c r="BF115" s="1060"/>
    </row>
    <row r="116" spans="37:58" x14ac:dyDescent="0.35">
      <c r="AK116" s="928"/>
      <c r="AL116" s="1060"/>
      <c r="AM116" s="928"/>
      <c r="AN116" s="928"/>
      <c r="AO116" s="928"/>
      <c r="AP116" s="928"/>
      <c r="AQ116" s="928"/>
      <c r="AR116" s="928"/>
      <c r="AS116" s="928"/>
      <c r="AT116" s="928"/>
      <c r="AU116" s="928"/>
      <c r="AV116" s="928"/>
      <c r="AW116" s="928"/>
      <c r="AX116" s="928"/>
      <c r="AY116" s="928"/>
      <c r="AZ116" s="928"/>
      <c r="BA116" s="928"/>
      <c r="BB116" s="928"/>
      <c r="BC116" s="928"/>
      <c r="BD116" s="928"/>
      <c r="BE116" s="928"/>
      <c r="BF116" s="1060"/>
    </row>
    <row r="117" spans="37:58" x14ac:dyDescent="0.35">
      <c r="AK117" s="928"/>
      <c r="AL117" s="1060"/>
      <c r="AM117" s="928"/>
      <c r="AN117" s="928"/>
      <c r="AO117" s="928"/>
      <c r="AP117" s="928"/>
      <c r="AQ117" s="928"/>
      <c r="AR117" s="928"/>
      <c r="AS117" s="928"/>
      <c r="AT117" s="928"/>
      <c r="AU117" s="928"/>
      <c r="AV117" s="928"/>
      <c r="AW117" s="928"/>
      <c r="AX117" s="928"/>
      <c r="AY117" s="928"/>
      <c r="AZ117" s="928"/>
      <c r="BA117" s="928"/>
      <c r="BB117" s="928"/>
      <c r="BC117" s="928"/>
      <c r="BD117" s="928"/>
      <c r="BE117" s="928"/>
      <c r="BF117" s="1060"/>
    </row>
    <row r="118" spans="37:58" x14ac:dyDescent="0.35">
      <c r="AK118" s="928"/>
      <c r="AL118" s="1060"/>
      <c r="AM118" s="928"/>
      <c r="AN118" s="928"/>
      <c r="AO118" s="928"/>
      <c r="AP118" s="928"/>
      <c r="AQ118" s="928"/>
      <c r="AR118" s="928"/>
      <c r="AS118" s="928"/>
      <c r="AT118" s="928"/>
      <c r="AU118" s="928"/>
      <c r="AV118" s="928"/>
      <c r="AW118" s="928"/>
      <c r="AX118" s="928"/>
      <c r="AY118" s="928"/>
      <c r="AZ118" s="928"/>
      <c r="BA118" s="928"/>
      <c r="BB118" s="928"/>
      <c r="BC118" s="928"/>
      <c r="BD118" s="928"/>
      <c r="BE118" s="928"/>
      <c r="BF118" s="1060"/>
    </row>
  </sheetData>
  <sheetProtection sheet="1" objects="1" scenarios="1"/>
  <mergeCells count="449">
    <mergeCell ref="R3:R4"/>
    <mergeCell ref="R31:R32"/>
    <mergeCell ref="R54:R55"/>
    <mergeCell ref="B1:AF1"/>
    <mergeCell ref="AI1:BH1"/>
    <mergeCell ref="F2:N2"/>
    <mergeCell ref="AE6:AE7"/>
    <mergeCell ref="AI6:AI7"/>
    <mergeCell ref="AJ6:AJ7"/>
    <mergeCell ref="B3:B4"/>
    <mergeCell ref="D3:D4"/>
    <mergeCell ref="E3:E4"/>
    <mergeCell ref="F3:N3"/>
    <mergeCell ref="O3:O4"/>
    <mergeCell ref="W3:W4"/>
    <mergeCell ref="X3:X4"/>
    <mergeCell ref="F7:N7"/>
    <mergeCell ref="B6:B7"/>
    <mergeCell ref="C6:C7"/>
    <mergeCell ref="D6:D7"/>
    <mergeCell ref="E6:E7"/>
    <mergeCell ref="O6:O7"/>
    <mergeCell ref="P6:P7"/>
    <mergeCell ref="S6:S7"/>
    <mergeCell ref="V6:V7"/>
    <mergeCell ref="BH6:BH7"/>
    <mergeCell ref="AF6:AF7"/>
    <mergeCell ref="AM9:AN9"/>
    <mergeCell ref="E20:E21"/>
    <mergeCell ref="BG3:BG4"/>
    <mergeCell ref="BH3:BH4"/>
    <mergeCell ref="AE3:AE4"/>
    <mergeCell ref="AF3:AF4"/>
    <mergeCell ref="Y3:Y4"/>
    <mergeCell ref="Z3:Z4"/>
    <mergeCell ref="AA3:AA4"/>
    <mergeCell ref="P3:P4"/>
    <mergeCell ref="Q3:Q4"/>
    <mergeCell ref="S3:S4"/>
    <mergeCell ref="U3:U4"/>
    <mergeCell ref="V3:V4"/>
    <mergeCell ref="AI3:AI4"/>
    <mergeCell ref="T3:T4"/>
    <mergeCell ref="AF9:AF10"/>
    <mergeCell ref="S17:S18"/>
    <mergeCell ref="V17:V18"/>
    <mergeCell ref="F18:N18"/>
    <mergeCell ref="Z20:Z21"/>
    <mergeCell ref="S14:S15"/>
    <mergeCell ref="V14:V15"/>
    <mergeCell ref="Y14:Y15"/>
    <mergeCell ref="AI11:AI12"/>
    <mergeCell ref="AJ11:AJ12"/>
    <mergeCell ref="T17:T18"/>
    <mergeCell ref="T20:T21"/>
    <mergeCell ref="AG11:AG12"/>
    <mergeCell ref="AH11:AH12"/>
    <mergeCell ref="AI9:AI10"/>
    <mergeCell ref="AJ9:AJ10"/>
    <mergeCell ref="B9:B10"/>
    <mergeCell ref="C9:C10"/>
    <mergeCell ref="D9:D10"/>
    <mergeCell ref="E9:E10"/>
    <mergeCell ref="O9:O10"/>
    <mergeCell ref="P9:P10"/>
    <mergeCell ref="F10:N10"/>
    <mergeCell ref="AK9:AL9"/>
    <mergeCell ref="B43:B44"/>
    <mergeCell ref="C43:C44"/>
    <mergeCell ref="D43:D44"/>
    <mergeCell ref="E43:E44"/>
    <mergeCell ref="O43:O44"/>
    <mergeCell ref="P43:P44"/>
    <mergeCell ref="F44:N44"/>
    <mergeCell ref="S9:S10"/>
    <mergeCell ref="V9:V10"/>
    <mergeCell ref="F15:N15"/>
    <mergeCell ref="B17:B18"/>
    <mergeCell ref="C17:C18"/>
    <mergeCell ref="D17:D18"/>
    <mergeCell ref="E17:E18"/>
    <mergeCell ref="O17:O18"/>
    <mergeCell ref="P17:P18"/>
    <mergeCell ref="B14:B15"/>
    <mergeCell ref="C14:C15"/>
    <mergeCell ref="D14:D15"/>
    <mergeCell ref="E14:E15"/>
    <mergeCell ref="O14:O15"/>
    <mergeCell ref="P14:P15"/>
    <mergeCell ref="Z14:Z15"/>
    <mergeCell ref="B54:B55"/>
    <mergeCell ref="C54:C55"/>
    <mergeCell ref="D54:D55"/>
    <mergeCell ref="E54:E55"/>
    <mergeCell ref="U54:U55"/>
    <mergeCell ref="V54:V55"/>
    <mergeCell ref="W54:W55"/>
    <mergeCell ref="X54:X55"/>
    <mergeCell ref="F54:N54"/>
    <mergeCell ref="O54:O55"/>
    <mergeCell ref="BK9:BK10"/>
    <mergeCell ref="BL9:BL10"/>
    <mergeCell ref="BK43:BK44"/>
    <mergeCell ref="BL43:BL44"/>
    <mergeCell ref="BK54:BK55"/>
    <mergeCell ref="BL54:BL55"/>
    <mergeCell ref="P54:P55"/>
    <mergeCell ref="Q54:Q55"/>
    <mergeCell ref="S54:S55"/>
    <mergeCell ref="AF54:AF55"/>
    <mergeCell ref="Z54:Z55"/>
    <mergeCell ref="AA54:AA55"/>
    <mergeCell ref="BG54:BG55"/>
    <mergeCell ref="BH54:BH55"/>
    <mergeCell ref="AE54:AE55"/>
    <mergeCell ref="AB54:AB55"/>
    <mergeCell ref="Y54:Y55"/>
    <mergeCell ref="S43:S44"/>
    <mergeCell ref="V43:V44"/>
    <mergeCell ref="Y43:Y44"/>
    <mergeCell ref="Z43:Z44"/>
    <mergeCell ref="AF43:AF44"/>
    <mergeCell ref="Y9:Y10"/>
    <mergeCell ref="Z9:Z10"/>
    <mergeCell ref="BK76:BK77"/>
    <mergeCell ref="BL76:BL77"/>
    <mergeCell ref="BK78:BK79"/>
    <mergeCell ref="BL78:BL79"/>
    <mergeCell ref="BK80:BK81"/>
    <mergeCell ref="BL80:BL81"/>
    <mergeCell ref="BK83:BK89"/>
    <mergeCell ref="BL83:BL89"/>
    <mergeCell ref="BK57:BK61"/>
    <mergeCell ref="BL57:BL61"/>
    <mergeCell ref="BK63:BK64"/>
    <mergeCell ref="BL63:BL64"/>
    <mergeCell ref="BK66:BK67"/>
    <mergeCell ref="BL66:BL67"/>
    <mergeCell ref="BK69:BK70"/>
    <mergeCell ref="BL69:BL70"/>
    <mergeCell ref="BK71:BK72"/>
    <mergeCell ref="BL71:BL72"/>
    <mergeCell ref="BK73:BK74"/>
    <mergeCell ref="BL73:BL74"/>
    <mergeCell ref="BK14:BK15"/>
    <mergeCell ref="BL14:BL15"/>
    <mergeCell ref="Y17:Y18"/>
    <mergeCell ref="Z17:Z18"/>
    <mergeCell ref="AF17:AF18"/>
    <mergeCell ref="BK17:BK18"/>
    <mergeCell ref="BL17:BL18"/>
    <mergeCell ref="BK20:BK21"/>
    <mergeCell ref="BL20:BL21"/>
    <mergeCell ref="AI14:AI15"/>
    <mergeCell ref="AJ14:AJ15"/>
    <mergeCell ref="AI17:AI18"/>
    <mergeCell ref="AJ17:AJ18"/>
    <mergeCell ref="Y20:Y21"/>
    <mergeCell ref="AG14:AG15"/>
    <mergeCell ref="AH14:AH15"/>
    <mergeCell ref="AG17:AG18"/>
    <mergeCell ref="AH17:AH18"/>
    <mergeCell ref="AG20:AG21"/>
    <mergeCell ref="AH20:AH21"/>
    <mergeCell ref="AF20:AF21"/>
    <mergeCell ref="AF14:AF15"/>
    <mergeCell ref="Y23:Y24"/>
    <mergeCell ref="Z23:Z24"/>
    <mergeCell ref="AF23:AF24"/>
    <mergeCell ref="BK23:BK24"/>
    <mergeCell ref="BL23:BL24"/>
    <mergeCell ref="F24:N24"/>
    <mergeCell ref="B20:B21"/>
    <mergeCell ref="C20:C21"/>
    <mergeCell ref="D20:D21"/>
    <mergeCell ref="O20:O21"/>
    <mergeCell ref="P20:P21"/>
    <mergeCell ref="S20:S21"/>
    <mergeCell ref="V20:V21"/>
    <mergeCell ref="F21:N21"/>
    <mergeCell ref="B23:B24"/>
    <mergeCell ref="C23:C24"/>
    <mergeCell ref="D23:D24"/>
    <mergeCell ref="E23:E24"/>
    <mergeCell ref="O23:O24"/>
    <mergeCell ref="P23:P24"/>
    <mergeCell ref="S23:S24"/>
    <mergeCell ref="V23:V24"/>
    <mergeCell ref="AI20:AI21"/>
    <mergeCell ref="AJ20:AJ21"/>
    <mergeCell ref="P40:P41"/>
    <mergeCell ref="BK34:BK35"/>
    <mergeCell ref="BL34:BL35"/>
    <mergeCell ref="F35:N35"/>
    <mergeCell ref="B37:B38"/>
    <mergeCell ref="C37:C38"/>
    <mergeCell ref="D37:D38"/>
    <mergeCell ref="E37:E38"/>
    <mergeCell ref="O37:O38"/>
    <mergeCell ref="P37:P38"/>
    <mergeCell ref="S37:S38"/>
    <mergeCell ref="V37:V38"/>
    <mergeCell ref="Y37:Y38"/>
    <mergeCell ref="Z37:Z38"/>
    <mergeCell ref="AF37:AF38"/>
    <mergeCell ref="BK37:BK38"/>
    <mergeCell ref="BL37:BL38"/>
    <mergeCell ref="F38:N38"/>
    <mergeCell ref="B34:B35"/>
    <mergeCell ref="C34:C35"/>
    <mergeCell ref="D34:D35"/>
    <mergeCell ref="E34:E35"/>
    <mergeCell ref="O34:O35"/>
    <mergeCell ref="P34:P35"/>
    <mergeCell ref="O49:O50"/>
    <mergeCell ref="P49:P50"/>
    <mergeCell ref="BK40:BK41"/>
    <mergeCell ref="BL40:BL41"/>
    <mergeCell ref="F41:N41"/>
    <mergeCell ref="B46:B47"/>
    <mergeCell ref="C46:C47"/>
    <mergeCell ref="D46:D47"/>
    <mergeCell ref="E46:E47"/>
    <mergeCell ref="O46:O47"/>
    <mergeCell ref="P46:P47"/>
    <mergeCell ref="S46:S47"/>
    <mergeCell ref="V46:V47"/>
    <mergeCell ref="Y46:Y47"/>
    <mergeCell ref="Z46:Z47"/>
    <mergeCell ref="AF46:AF47"/>
    <mergeCell ref="BK46:BK47"/>
    <mergeCell ref="BL46:BL47"/>
    <mergeCell ref="F47:N47"/>
    <mergeCell ref="B40:B41"/>
    <mergeCell ref="C40:C41"/>
    <mergeCell ref="D40:D41"/>
    <mergeCell ref="E40:E41"/>
    <mergeCell ref="O40:O41"/>
    <mergeCell ref="S34:S35"/>
    <mergeCell ref="V34:V35"/>
    <mergeCell ref="Y34:Y35"/>
    <mergeCell ref="BK49:BK50"/>
    <mergeCell ref="BL49:BL50"/>
    <mergeCell ref="F50:N50"/>
    <mergeCell ref="B52:B53"/>
    <mergeCell ref="C52:C53"/>
    <mergeCell ref="D52:D53"/>
    <mergeCell ref="E52:E53"/>
    <mergeCell ref="O52:O53"/>
    <mergeCell ref="P52:P53"/>
    <mergeCell ref="S52:S53"/>
    <mergeCell ref="V52:V53"/>
    <mergeCell ref="Y52:Y53"/>
    <mergeCell ref="Z52:Z53"/>
    <mergeCell ref="AF52:AF53"/>
    <mergeCell ref="BK52:BK53"/>
    <mergeCell ref="BL52:BL53"/>
    <mergeCell ref="F53:N53"/>
    <mergeCell ref="B49:B50"/>
    <mergeCell ref="C49:C50"/>
    <mergeCell ref="D49:D50"/>
    <mergeCell ref="E49:E50"/>
    <mergeCell ref="Z49:Z50"/>
    <mergeCell ref="AF49:AF50"/>
    <mergeCell ref="S49:S50"/>
    <mergeCell ref="V49:V50"/>
    <mergeCell ref="Y49:Y50"/>
    <mergeCell ref="Z40:Z41"/>
    <mergeCell ref="AF40:AF41"/>
    <mergeCell ref="S40:S41"/>
    <mergeCell ref="V40:V41"/>
    <mergeCell ref="Y40:Y41"/>
    <mergeCell ref="T49:T50"/>
    <mergeCell ref="T40:T41"/>
    <mergeCell ref="T43:T44"/>
    <mergeCell ref="T46:T47"/>
    <mergeCell ref="AC49:AC50"/>
    <mergeCell ref="AD49:AD50"/>
    <mergeCell ref="BK26:BK27"/>
    <mergeCell ref="BL26:BL27"/>
    <mergeCell ref="F27:N27"/>
    <mergeCell ref="B11:B12"/>
    <mergeCell ref="C11:C12"/>
    <mergeCell ref="D11:D12"/>
    <mergeCell ref="E11:E12"/>
    <mergeCell ref="O11:O12"/>
    <mergeCell ref="P11:P12"/>
    <mergeCell ref="S11:S12"/>
    <mergeCell ref="V11:V12"/>
    <mergeCell ref="Y11:Y12"/>
    <mergeCell ref="Z11:Z12"/>
    <mergeCell ref="AF11:AF12"/>
    <mergeCell ref="BK11:BK12"/>
    <mergeCell ref="BL11:BL12"/>
    <mergeCell ref="F12:N12"/>
    <mergeCell ref="B26:B27"/>
    <mergeCell ref="C26:C27"/>
    <mergeCell ref="D26:D27"/>
    <mergeCell ref="E26:E27"/>
    <mergeCell ref="O26:O27"/>
    <mergeCell ref="P26:P27"/>
    <mergeCell ref="S26:S27"/>
    <mergeCell ref="AI52:AI53"/>
    <mergeCell ref="AJ52:AJ53"/>
    <mergeCell ref="AI54:AI55"/>
    <mergeCell ref="AJ54:AJ55"/>
    <mergeCell ref="AI23:AI24"/>
    <mergeCell ref="AJ23:AJ24"/>
    <mergeCell ref="AI26:AI27"/>
    <mergeCell ref="AJ26:AJ27"/>
    <mergeCell ref="AI34:AI35"/>
    <mergeCell ref="AJ34:AJ35"/>
    <mergeCell ref="AI37:AI38"/>
    <mergeCell ref="AJ37:AJ38"/>
    <mergeCell ref="AI40:AI41"/>
    <mergeCell ref="AJ40:AJ41"/>
    <mergeCell ref="AI31:AI32"/>
    <mergeCell ref="T23:T24"/>
    <mergeCell ref="T26:T27"/>
    <mergeCell ref="T34:T35"/>
    <mergeCell ref="T37:T38"/>
    <mergeCell ref="AI43:AI44"/>
    <mergeCell ref="AJ43:AJ44"/>
    <mergeCell ref="AI46:AI47"/>
    <mergeCell ref="AJ46:AJ47"/>
    <mergeCell ref="Z26:Z27"/>
    <mergeCell ref="AF26:AF27"/>
    <mergeCell ref="V26:V27"/>
    <mergeCell ref="Y26:Y27"/>
    <mergeCell ref="Z34:Z35"/>
    <mergeCell ref="AF34:AF35"/>
    <mergeCell ref="AD37:AD38"/>
    <mergeCell ref="AC40:AC41"/>
    <mergeCell ref="AD40:AD41"/>
    <mergeCell ref="AC43:AC44"/>
    <mergeCell ref="AD43:AD44"/>
    <mergeCell ref="AC46:AC47"/>
    <mergeCell ref="AD46:AD47"/>
    <mergeCell ref="AD31:AD32"/>
    <mergeCell ref="AE31:AE32"/>
    <mergeCell ref="AF31:AF32"/>
    <mergeCell ref="T52:T53"/>
    <mergeCell ref="T54:T55"/>
    <mergeCell ref="AB3:AB4"/>
    <mergeCell ref="AC3:AC4"/>
    <mergeCell ref="AD3:AD4"/>
    <mergeCell ref="AC9:AC10"/>
    <mergeCell ref="AD9:AD10"/>
    <mergeCell ref="AC11:AC12"/>
    <mergeCell ref="AD11:AD12"/>
    <mergeCell ref="AC14:AC15"/>
    <mergeCell ref="AD14:AD15"/>
    <mergeCell ref="AC17:AC18"/>
    <mergeCell ref="AD17:AD18"/>
    <mergeCell ref="AC20:AC21"/>
    <mergeCell ref="AD20:AD21"/>
    <mergeCell ref="AC23:AC24"/>
    <mergeCell ref="AD23:AD24"/>
    <mergeCell ref="AC26:AC27"/>
    <mergeCell ref="AD26:AD27"/>
    <mergeCell ref="AC34:AC35"/>
    <mergeCell ref="T9:T10"/>
    <mergeCell ref="T11:T12"/>
    <mergeCell ref="T14:T15"/>
    <mergeCell ref="AC37:AC38"/>
    <mergeCell ref="AG52:AG53"/>
    <mergeCell ref="AH52:AH53"/>
    <mergeCell ref="AC52:AC53"/>
    <mergeCell ref="AD52:AD53"/>
    <mergeCell ref="AC54:AC55"/>
    <mergeCell ref="AD54:AD55"/>
    <mergeCell ref="B31:B32"/>
    <mergeCell ref="D31:D32"/>
    <mergeCell ref="E31:E32"/>
    <mergeCell ref="F31:N31"/>
    <mergeCell ref="O31:O32"/>
    <mergeCell ref="P31:P32"/>
    <mergeCell ref="Q31:Q32"/>
    <mergeCell ref="S31:S32"/>
    <mergeCell ref="T31:T32"/>
    <mergeCell ref="U31:U32"/>
    <mergeCell ref="V31:V32"/>
    <mergeCell ref="W31:W32"/>
    <mergeCell ref="X31:X32"/>
    <mergeCell ref="Y31:Y32"/>
    <mergeCell ref="Z31:Z32"/>
    <mergeCell ref="AA31:AA32"/>
    <mergeCell ref="AB31:AB32"/>
    <mergeCell ref="AC31:AC32"/>
    <mergeCell ref="BG31:BG32"/>
    <mergeCell ref="BH31:BH32"/>
    <mergeCell ref="AD34:AD35"/>
    <mergeCell ref="AI49:AI50"/>
    <mergeCell ref="AJ49:AJ50"/>
    <mergeCell ref="AG46:AG47"/>
    <mergeCell ref="AH46:AH47"/>
    <mergeCell ref="AG49:AG50"/>
    <mergeCell ref="AH49:AH50"/>
    <mergeCell ref="AG43:AG44"/>
    <mergeCell ref="AH43:AH44"/>
    <mergeCell ref="F28:N28"/>
    <mergeCell ref="B29:AF29"/>
    <mergeCell ref="AI29:BH29"/>
    <mergeCell ref="F30:N30"/>
    <mergeCell ref="F61:N61"/>
    <mergeCell ref="BI6:BI7"/>
    <mergeCell ref="BI9:BI10"/>
    <mergeCell ref="BI11:BI12"/>
    <mergeCell ref="BI14:BI15"/>
    <mergeCell ref="BI17:BI18"/>
    <mergeCell ref="BI20:BI21"/>
    <mergeCell ref="BI23:BI24"/>
    <mergeCell ref="BI26:BI27"/>
    <mergeCell ref="BI34:BI35"/>
    <mergeCell ref="BI37:BI38"/>
    <mergeCell ref="BI40:BI41"/>
    <mergeCell ref="BI43:BI44"/>
    <mergeCell ref="BI46:BI47"/>
    <mergeCell ref="BI49:BI50"/>
    <mergeCell ref="BI52:BI53"/>
    <mergeCell ref="AG6:AG7"/>
    <mergeCell ref="AH6:AH7"/>
    <mergeCell ref="AG9:AG10"/>
    <mergeCell ref="AH9:AH10"/>
    <mergeCell ref="AG23:AG24"/>
    <mergeCell ref="AH23:AH24"/>
    <mergeCell ref="AG26:AG27"/>
    <mergeCell ref="AH26:AH27"/>
    <mergeCell ref="AG34:AG35"/>
    <mergeCell ref="AH34:AH35"/>
    <mergeCell ref="AG37:AG38"/>
    <mergeCell ref="AH37:AH38"/>
    <mergeCell ref="AG40:AG41"/>
    <mergeCell ref="AH40:AH41"/>
    <mergeCell ref="A37:A38"/>
    <mergeCell ref="A40:A41"/>
    <mergeCell ref="A43:A44"/>
    <mergeCell ref="A46:A47"/>
    <mergeCell ref="A49:A50"/>
    <mergeCell ref="A52:A53"/>
    <mergeCell ref="A6:A7"/>
    <mergeCell ref="A9:A10"/>
    <mergeCell ref="A11:A12"/>
    <mergeCell ref="A14:A15"/>
    <mergeCell ref="A17:A18"/>
    <mergeCell ref="A20:A21"/>
    <mergeCell ref="A23:A24"/>
    <mergeCell ref="A26:A27"/>
    <mergeCell ref="A34:A35"/>
  </mergeCells>
  <conditionalFormatting sqref="E9 E43">
    <cfRule type="containsText" dxfId="204" priority="64" operator="containsText" text="Essential">
      <formula>NOT(ISERROR(SEARCH("Essential",E9)))</formula>
    </cfRule>
    <cfRule type="containsText" dxfId="203" priority="63" operator="containsText" text="Critical">
      <formula>NOT(ISERROR(SEARCH("Critical",E9)))</formula>
    </cfRule>
    <cfRule type="containsText" dxfId="202" priority="65" operator="containsText" text="Desirable">
      <formula>NOT(ISERROR(SEARCH("Desirable",E9)))</formula>
    </cfRule>
  </conditionalFormatting>
  <conditionalFormatting sqref="E9">
    <cfRule type="containsText" dxfId="201" priority="62" operator="containsText" text="Required">
      <formula>NOT(ISERROR(SEARCH("Required",E9)))</formula>
    </cfRule>
  </conditionalFormatting>
  <conditionalFormatting sqref="E11">
    <cfRule type="containsText" dxfId="200" priority="13" operator="containsText" text="Required">
      <formula>NOT(ISERROR(SEARCH("Required",E11)))</formula>
    </cfRule>
    <cfRule type="containsText" dxfId="199" priority="14" operator="containsText" text="Critical">
      <formula>NOT(ISERROR(SEARCH("Critical",E11)))</formula>
    </cfRule>
    <cfRule type="containsText" dxfId="198" priority="15" operator="containsText" text="Essential">
      <formula>NOT(ISERROR(SEARCH("Essential",E11)))</formula>
    </cfRule>
    <cfRule type="containsText" dxfId="197" priority="16" operator="containsText" text="Desirable">
      <formula>NOT(ISERROR(SEARCH("Desirable",E11)))</formula>
    </cfRule>
  </conditionalFormatting>
  <conditionalFormatting sqref="E14">
    <cfRule type="containsText" dxfId="196" priority="59" operator="containsText" text="Essential">
      <formula>NOT(ISERROR(SEARCH("Essential",E14)))</formula>
    </cfRule>
    <cfRule type="containsText" dxfId="195" priority="60" operator="containsText" text="Desirable">
      <formula>NOT(ISERROR(SEARCH("Desirable",E14)))</formula>
    </cfRule>
    <cfRule type="containsText" dxfId="194" priority="58" operator="containsText" text="Critical">
      <formula>NOT(ISERROR(SEARCH("Critical",E14)))</formula>
    </cfRule>
    <cfRule type="containsText" dxfId="193" priority="57" operator="containsText" text="Required">
      <formula>NOT(ISERROR(SEARCH("Required",E14)))</formula>
    </cfRule>
  </conditionalFormatting>
  <conditionalFormatting sqref="E17">
    <cfRule type="containsText" dxfId="192" priority="56" operator="containsText" text="Desirable">
      <formula>NOT(ISERROR(SEARCH("Desirable",E17)))</formula>
    </cfRule>
    <cfRule type="containsText" dxfId="191" priority="55" operator="containsText" text="Essential">
      <formula>NOT(ISERROR(SEARCH("Essential",E17)))</formula>
    </cfRule>
    <cfRule type="containsText" dxfId="190" priority="54" operator="containsText" text="Critical">
      <formula>NOT(ISERROR(SEARCH("Critical",E17)))</formula>
    </cfRule>
    <cfRule type="containsText" dxfId="189" priority="53" operator="containsText" text="Required">
      <formula>NOT(ISERROR(SEARCH("Required",E17)))</formula>
    </cfRule>
  </conditionalFormatting>
  <conditionalFormatting sqref="E20">
    <cfRule type="containsText" dxfId="188" priority="52" operator="containsText" text="Desirable">
      <formula>NOT(ISERROR(SEARCH("Desirable",E20)))</formula>
    </cfRule>
    <cfRule type="containsText" dxfId="187" priority="51" operator="containsText" text="Essential">
      <formula>NOT(ISERROR(SEARCH("Essential",E20)))</formula>
    </cfRule>
    <cfRule type="containsText" dxfId="186" priority="50" operator="containsText" text="Critical">
      <formula>NOT(ISERROR(SEARCH("Critical",E20)))</formula>
    </cfRule>
    <cfRule type="containsText" dxfId="185" priority="49" operator="containsText" text="Required">
      <formula>NOT(ISERROR(SEARCH("Required",E20)))</formula>
    </cfRule>
  </conditionalFormatting>
  <conditionalFormatting sqref="E23">
    <cfRule type="containsText" dxfId="184" priority="48" operator="containsText" text="Desirable">
      <formula>NOT(ISERROR(SEARCH("Desirable",E23)))</formula>
    </cfRule>
    <cfRule type="containsText" dxfId="183" priority="47" operator="containsText" text="Essential">
      <formula>NOT(ISERROR(SEARCH("Essential",E23)))</formula>
    </cfRule>
    <cfRule type="containsText" dxfId="182" priority="46" operator="containsText" text="Critical">
      <formula>NOT(ISERROR(SEARCH("Critical",E23)))</formula>
    </cfRule>
    <cfRule type="containsText" dxfId="181" priority="45" operator="containsText" text="Required">
      <formula>NOT(ISERROR(SEARCH("Required",E23)))</formula>
    </cfRule>
  </conditionalFormatting>
  <conditionalFormatting sqref="E26">
    <cfRule type="containsText" dxfId="180" priority="18" operator="containsText" text="Critical">
      <formula>NOT(ISERROR(SEARCH("Critical",E26)))</formula>
    </cfRule>
    <cfRule type="containsText" dxfId="179" priority="20" operator="containsText" text="Desirable">
      <formula>NOT(ISERROR(SEARCH("Desirable",E26)))</formula>
    </cfRule>
    <cfRule type="containsText" dxfId="178" priority="19" operator="containsText" text="Essential">
      <formula>NOT(ISERROR(SEARCH("Essential",E26)))</formula>
    </cfRule>
    <cfRule type="containsText" dxfId="177" priority="17" operator="containsText" text="Required">
      <formula>NOT(ISERROR(SEARCH("Required",E26)))</formula>
    </cfRule>
  </conditionalFormatting>
  <conditionalFormatting sqref="E34">
    <cfRule type="containsText" dxfId="176" priority="41" operator="containsText" text="Required">
      <formula>NOT(ISERROR(SEARCH("Required",E34)))</formula>
    </cfRule>
    <cfRule type="containsText" dxfId="175" priority="42" operator="containsText" text="Critical">
      <formula>NOT(ISERROR(SEARCH("Critical",E34)))</formula>
    </cfRule>
    <cfRule type="containsText" dxfId="174" priority="43" operator="containsText" text="Essential">
      <formula>NOT(ISERROR(SEARCH("Essential",E34)))</formula>
    </cfRule>
    <cfRule type="containsText" dxfId="173" priority="44" operator="containsText" text="Desirable">
      <formula>NOT(ISERROR(SEARCH("Desirable",E34)))</formula>
    </cfRule>
  </conditionalFormatting>
  <conditionalFormatting sqref="E37">
    <cfRule type="containsText" dxfId="172" priority="38" operator="containsText" text="Critical">
      <formula>NOT(ISERROR(SEARCH("Critical",E37)))</formula>
    </cfRule>
    <cfRule type="containsText" dxfId="171" priority="37" operator="containsText" text="Required">
      <formula>NOT(ISERROR(SEARCH("Required",E37)))</formula>
    </cfRule>
    <cfRule type="containsText" dxfId="170" priority="39" operator="containsText" text="Essential">
      <formula>NOT(ISERROR(SEARCH("Essential",E37)))</formula>
    </cfRule>
    <cfRule type="containsText" dxfId="169" priority="40" operator="containsText" text="Desirable">
      <formula>NOT(ISERROR(SEARCH("Desirable",E37)))</formula>
    </cfRule>
  </conditionalFormatting>
  <conditionalFormatting sqref="E40">
    <cfRule type="containsText" dxfId="168" priority="33" operator="containsText" text="Required">
      <formula>NOT(ISERROR(SEARCH("Required",E40)))</formula>
    </cfRule>
    <cfRule type="containsText" dxfId="167" priority="36" operator="containsText" text="Desirable">
      <formula>NOT(ISERROR(SEARCH("Desirable",E40)))</formula>
    </cfRule>
    <cfRule type="containsText" dxfId="166" priority="35" operator="containsText" text="Essential">
      <formula>NOT(ISERROR(SEARCH("Essential",E40)))</formula>
    </cfRule>
    <cfRule type="containsText" dxfId="165" priority="34" operator="containsText" text="Critical">
      <formula>NOT(ISERROR(SEARCH("Critical",E40)))</formula>
    </cfRule>
  </conditionalFormatting>
  <conditionalFormatting sqref="E43">
    <cfRule type="containsText" dxfId="164" priority="61" operator="containsText" text="Required">
      <formula>NOT(ISERROR(SEARCH("Required",E43)))</formula>
    </cfRule>
  </conditionalFormatting>
  <conditionalFormatting sqref="E46">
    <cfRule type="containsText" dxfId="163" priority="32" operator="containsText" text="Desirable">
      <formula>NOT(ISERROR(SEARCH("Desirable",E46)))</formula>
    </cfRule>
    <cfRule type="containsText" dxfId="162" priority="31" operator="containsText" text="Essential">
      <formula>NOT(ISERROR(SEARCH("Essential",E46)))</formula>
    </cfRule>
    <cfRule type="containsText" dxfId="161" priority="30" operator="containsText" text="Critical">
      <formula>NOT(ISERROR(SEARCH("Critical",E46)))</formula>
    </cfRule>
    <cfRule type="containsText" dxfId="160" priority="29" operator="containsText" text="Required">
      <formula>NOT(ISERROR(SEARCH("Required",E46)))</formula>
    </cfRule>
  </conditionalFormatting>
  <conditionalFormatting sqref="E49">
    <cfRule type="containsText" dxfId="159" priority="28" operator="containsText" text="Desirable">
      <formula>NOT(ISERROR(SEARCH("Desirable",E49)))</formula>
    </cfRule>
    <cfRule type="containsText" dxfId="158" priority="27" operator="containsText" text="Essential">
      <formula>NOT(ISERROR(SEARCH("Essential",E49)))</formula>
    </cfRule>
    <cfRule type="containsText" dxfId="157" priority="26" operator="containsText" text="Critical">
      <formula>NOT(ISERROR(SEARCH("Critical",E49)))</formula>
    </cfRule>
    <cfRule type="containsText" dxfId="156" priority="25" operator="containsText" text="Required">
      <formula>NOT(ISERROR(SEARCH("Required",E49)))</formula>
    </cfRule>
  </conditionalFormatting>
  <conditionalFormatting sqref="E52">
    <cfRule type="containsText" dxfId="155" priority="24" operator="containsText" text="Desirable">
      <formula>NOT(ISERROR(SEARCH("Desirable",E52)))</formula>
    </cfRule>
    <cfRule type="containsText" dxfId="154" priority="23" operator="containsText" text="Essential">
      <formula>NOT(ISERROR(SEARCH("Essential",E52)))</formula>
    </cfRule>
    <cfRule type="containsText" dxfId="153" priority="22" operator="containsText" text="Critical">
      <formula>NOT(ISERROR(SEARCH("Critical",E52)))</formula>
    </cfRule>
    <cfRule type="containsText" dxfId="152" priority="21" operator="containsText" text="Required">
      <formula>NOT(ISERROR(SEARCH("Required",E52)))</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rowBreaks count="1" manualBreakCount="1">
    <brk id="28" max="59" man="1"/>
  </rowBreaks>
  <colBreaks count="1" manualBreakCount="1">
    <brk id="33" max="6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pageSetUpPr fitToPage="1"/>
  </sheetPr>
  <dimension ref="A1:DJ37"/>
  <sheetViews>
    <sheetView showGridLines="0" zoomScaleNormal="100" zoomScaleSheetLayoutView="40" zoomScalePageLayoutView="50" workbookViewId="0">
      <pane xSplit="3" ySplit="1" topLeftCell="D21" activePane="bottomRight" state="frozen"/>
      <selection pane="topRight" activeCell="AA20" sqref="AA20"/>
      <selection pane="bottomLeft" activeCell="AA20" sqref="AA20"/>
      <selection pane="bottomRight" activeCell="AA20" sqref="AA20"/>
    </sheetView>
  </sheetViews>
  <sheetFormatPr defaultColWidth="8.90625" defaultRowHeight="14.5" outlineLevelCol="1" x14ac:dyDescent="0.35"/>
  <cols>
    <col min="1" max="1" width="8.90625" style="348" customWidth="1"/>
    <col min="2" max="2" width="8.90625" style="407" customWidth="1"/>
    <col min="3" max="3" width="44.453125" style="348" customWidth="1"/>
    <col min="4" max="4" width="11.08984375" style="348" customWidth="1"/>
    <col min="5" max="6" width="22.08984375" style="348" customWidth="1"/>
    <col min="7" max="7" width="16.90625" style="408" customWidth="1"/>
    <col min="8" max="8" width="33.08984375" style="409" customWidth="1"/>
    <col min="9" max="11" width="16.90625" style="408" customWidth="1"/>
    <col min="12" max="12" width="33.08984375" style="408" customWidth="1"/>
    <col min="13" max="13" width="16.90625" style="408" customWidth="1"/>
    <col min="14" max="14" width="11.08984375" style="348" customWidth="1"/>
    <col min="15" max="20" width="7.90625" style="348" customWidth="1"/>
    <col min="21" max="26" width="7.90625" style="348" hidden="1" customWidth="1" outlineLevel="1"/>
    <col min="27" max="27" width="55.54296875" style="348" customWidth="1" collapsed="1"/>
    <col min="28" max="28" width="22.08984375" style="348" hidden="1" customWidth="1" outlineLevel="1"/>
    <col min="29" max="29" width="33.08984375" style="348" hidden="1" customWidth="1" outlineLevel="1"/>
    <col min="30" max="30" width="12.08984375" style="348" hidden="1" customWidth="1" outlineLevel="1"/>
    <col min="31" max="31" width="33.08984375" style="407" hidden="1" customWidth="1" outlineLevel="1"/>
    <col min="32" max="32" width="11.08984375" style="348" customWidth="1" collapsed="1"/>
    <col min="33" max="33" width="19.90625" style="348" customWidth="1"/>
    <col min="34" max="61" width="16.90625" style="348" customWidth="1"/>
    <col min="62" max="64" width="15.453125" style="348" customWidth="1"/>
    <col min="65" max="65" width="8.90625" style="289" hidden="1" customWidth="1" outlineLevel="1"/>
    <col min="66" max="113" width="16.90625" style="289" hidden="1" customWidth="1" outlineLevel="1"/>
    <col min="114" max="114" width="8.90625" style="348" collapsed="1"/>
    <col min="115" max="16384" width="8.90625" style="348"/>
  </cols>
  <sheetData>
    <row r="1" spans="1:113" ht="84" customHeight="1" x14ac:dyDescent="0.3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298"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287" t="s">
        <v>199</v>
      </c>
      <c r="BM1" s="348"/>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14.15" customHeight="1" x14ac:dyDescent="0.3">
      <c r="A2" s="63" t="s">
        <v>1815</v>
      </c>
      <c r="B2" s="140"/>
      <c r="C2" s="13"/>
      <c r="D2" s="13"/>
      <c r="E2" s="13"/>
      <c r="F2" s="155"/>
      <c r="G2" s="161"/>
      <c r="H2" s="41"/>
      <c r="I2" s="27"/>
      <c r="J2" s="27"/>
      <c r="K2" s="27"/>
      <c r="L2" s="27"/>
      <c r="M2" s="157"/>
      <c r="N2" s="156"/>
      <c r="O2" s="28"/>
      <c r="P2" s="28"/>
      <c r="Q2" s="28"/>
      <c r="R2" s="28"/>
      <c r="S2" s="28"/>
      <c r="T2" s="159"/>
      <c r="U2" s="229"/>
      <c r="V2" s="229"/>
      <c r="W2" s="229"/>
      <c r="X2" s="229"/>
      <c r="Y2" s="229"/>
      <c r="Z2" s="230"/>
      <c r="AA2" s="158"/>
      <c r="AB2" s="64"/>
      <c r="AC2" s="14"/>
      <c r="AD2" s="273"/>
      <c r="AE2" s="214"/>
      <c r="AF2" s="65"/>
      <c r="AG2" s="155"/>
      <c r="AH2" s="133"/>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M2" s="356"/>
      <c r="BN2" s="234"/>
      <c r="BO2" s="234"/>
      <c r="BP2" s="234"/>
      <c r="BQ2" s="234"/>
      <c r="BR2" s="234"/>
      <c r="BS2" s="234"/>
      <c r="BT2" s="235"/>
      <c r="BU2" s="235"/>
      <c r="BV2" s="234"/>
      <c r="BW2" s="234"/>
      <c r="BX2" s="234"/>
      <c r="BY2" s="234"/>
      <c r="BZ2" s="235"/>
      <c r="CA2" s="235"/>
      <c r="CB2" s="234"/>
      <c r="CC2" s="234"/>
      <c r="CD2" s="234"/>
      <c r="CE2" s="234"/>
      <c r="CF2" s="235"/>
      <c r="CG2" s="235"/>
      <c r="CH2" s="234"/>
      <c r="CI2" s="234"/>
      <c r="CJ2" s="234"/>
      <c r="CK2" s="234"/>
      <c r="CL2" s="235"/>
      <c r="CM2" s="235"/>
      <c r="CN2" s="234"/>
      <c r="CO2" s="234"/>
      <c r="CP2" s="234"/>
      <c r="CQ2" s="234"/>
      <c r="CR2" s="234"/>
      <c r="CS2" s="234"/>
      <c r="CT2" s="234"/>
      <c r="CU2" s="234"/>
      <c r="CV2" s="234"/>
      <c r="CW2" s="234"/>
      <c r="CX2" s="234"/>
      <c r="CY2" s="234"/>
      <c r="CZ2" s="234"/>
      <c r="DA2" s="234"/>
      <c r="DB2" s="234"/>
      <c r="DC2" s="234"/>
      <c r="DD2" s="235"/>
      <c r="DE2" s="235"/>
      <c r="DF2" s="234"/>
      <c r="DG2" s="234"/>
      <c r="DH2" s="234"/>
      <c r="DI2" s="234"/>
    </row>
    <row r="3" spans="1:113" ht="84" x14ac:dyDescent="0.3">
      <c r="A3" s="55" t="s">
        <v>1816</v>
      </c>
      <c r="B3" s="90" t="s">
        <v>1817</v>
      </c>
      <c r="C3" s="1" t="s">
        <v>1818</v>
      </c>
      <c r="D3" s="1" t="s">
        <v>246</v>
      </c>
      <c r="E3" s="6" t="s">
        <v>1819</v>
      </c>
      <c r="F3" s="94" t="s">
        <v>1820</v>
      </c>
      <c r="G3" s="115" t="s">
        <v>1821</v>
      </c>
      <c r="H3" s="162"/>
      <c r="I3" s="57">
        <v>0</v>
      </c>
      <c r="J3" s="57" t="s">
        <v>232</v>
      </c>
      <c r="K3" s="112">
        <v>0</v>
      </c>
      <c r="L3" s="117"/>
      <c r="M3" s="389" t="s">
        <v>232</v>
      </c>
      <c r="N3" s="100" t="s">
        <v>1822</v>
      </c>
      <c r="O3" s="98"/>
      <c r="P3" s="98"/>
      <c r="Q3" s="98"/>
      <c r="R3" s="98"/>
      <c r="S3" s="98"/>
      <c r="T3" s="160"/>
      <c r="U3" s="224"/>
      <c r="V3" s="224"/>
      <c r="W3" s="224"/>
      <c r="X3" s="224"/>
      <c r="Y3" s="224"/>
      <c r="Z3" s="228"/>
      <c r="AA3" s="96" t="s">
        <v>1823</v>
      </c>
      <c r="AB3" s="1" t="s">
        <v>309</v>
      </c>
      <c r="AC3" s="1" t="s">
        <v>1824</v>
      </c>
      <c r="AD3" s="277" t="s">
        <v>1825</v>
      </c>
      <c r="AE3" s="90"/>
      <c r="AF3" s="97" t="s">
        <v>242</v>
      </c>
      <c r="AG3" s="94" t="s">
        <v>1826</v>
      </c>
      <c r="AH3" s="132"/>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288" t="b">
        <f t="shared" ref="BK3:BK20" si="0">K3=SUM(AH3:BJ3)</f>
        <v>1</v>
      </c>
      <c r="BM3" s="356"/>
      <c r="BN3" s="360">
        <f t="shared" ref="BN3:BN21" si="1">$U3*AH3</f>
        <v>0</v>
      </c>
      <c r="BO3" s="360">
        <f t="shared" ref="BO3:BO21" si="2">$V3*AH3</f>
        <v>0</v>
      </c>
      <c r="BP3" s="360">
        <f t="shared" ref="BP3:BP21" si="3">$W3*AH3</f>
        <v>0</v>
      </c>
      <c r="BQ3" s="360">
        <f t="shared" ref="BQ3:BQ21" si="4">$X3*AH3</f>
        <v>0</v>
      </c>
      <c r="BR3" s="360">
        <f t="shared" ref="BR3:BR21" si="5">$Y3*AH3</f>
        <v>0</v>
      </c>
      <c r="BS3" s="360">
        <f t="shared" ref="BS3:BS21" si="6">$Z3*AH3</f>
        <v>0</v>
      </c>
      <c r="BT3" s="360">
        <f t="shared" ref="BT3:BT21" si="7">$U3*AI3</f>
        <v>0</v>
      </c>
      <c r="BU3" s="360">
        <f t="shared" ref="BU3:BU21" si="8">$V3*AI3</f>
        <v>0</v>
      </c>
      <c r="BV3" s="360">
        <f t="shared" ref="BV3:BV21" si="9">$W3*AI3</f>
        <v>0</v>
      </c>
      <c r="BW3" s="360">
        <f t="shared" ref="BW3:BW21" si="10">$X3*AI3</f>
        <v>0</v>
      </c>
      <c r="BX3" s="360">
        <f t="shared" ref="BX3:BX21" si="11">$Y3*AI3</f>
        <v>0</v>
      </c>
      <c r="BY3" s="360">
        <f t="shared" ref="BY3:BY21" si="12">$Z3*AI3</f>
        <v>0</v>
      </c>
      <c r="BZ3" s="360">
        <f t="shared" ref="BZ3:BZ21" si="13">$U3*AJ3</f>
        <v>0</v>
      </c>
      <c r="CA3" s="360">
        <f t="shared" ref="CA3:CA21" si="14">$V3*AJ3</f>
        <v>0</v>
      </c>
      <c r="CB3" s="360">
        <f t="shared" ref="CB3:CB21" si="15">$W3*AJ3</f>
        <v>0</v>
      </c>
      <c r="CC3" s="360">
        <f t="shared" ref="CC3:CC21" si="16">$X3*AJ3</f>
        <v>0</v>
      </c>
      <c r="CD3" s="360">
        <f t="shared" ref="CD3:CD21" si="17">$Y3*AJ3</f>
        <v>0</v>
      </c>
      <c r="CE3" s="360">
        <f t="shared" ref="CE3:CE21" si="18">$Z3*AJ3</f>
        <v>0</v>
      </c>
      <c r="CF3" s="360">
        <f t="shared" ref="CF3:CF21" si="19">$U3*AK3</f>
        <v>0</v>
      </c>
      <c r="CG3" s="360">
        <f t="shared" ref="CG3:CG21" si="20">$V3*AK3</f>
        <v>0</v>
      </c>
      <c r="CH3" s="360">
        <f t="shared" ref="CH3:CH21" si="21">$W3*AK3</f>
        <v>0</v>
      </c>
      <c r="CI3" s="360">
        <f t="shared" ref="CI3:CI21" si="22">$X3*AK3</f>
        <v>0</v>
      </c>
      <c r="CJ3" s="360">
        <f t="shared" ref="CJ3:CJ21" si="23">$Y3*AK3</f>
        <v>0</v>
      </c>
      <c r="CK3" s="360">
        <f t="shared" ref="CK3:CK21" si="24">$Z3*AK3</f>
        <v>0</v>
      </c>
      <c r="CL3" s="360">
        <f t="shared" ref="CL3:CL21" si="25">$U3*AL3</f>
        <v>0</v>
      </c>
      <c r="CM3" s="360">
        <f t="shared" ref="CM3:CM21" si="26">$V3*AL3</f>
        <v>0</v>
      </c>
      <c r="CN3" s="360">
        <f t="shared" ref="CN3:CN21" si="27">$W3*AL3</f>
        <v>0</v>
      </c>
      <c r="CO3" s="360">
        <f t="shared" ref="CO3:CO21" si="28">$X3*AL3</f>
        <v>0</v>
      </c>
      <c r="CP3" s="360">
        <f t="shared" ref="CP3:CP21" si="29">$Y3*AL3</f>
        <v>0</v>
      </c>
      <c r="CQ3" s="360">
        <f t="shared" ref="CQ3:CQ21" si="30">$Z3*AL3</f>
        <v>0</v>
      </c>
      <c r="CR3" s="360">
        <f t="shared" ref="CR3:CR21" si="31">$U3*AM3</f>
        <v>0</v>
      </c>
      <c r="CS3" s="360">
        <f t="shared" ref="CS3:CS21" si="32">$V3*AM3</f>
        <v>0</v>
      </c>
      <c r="CT3" s="360">
        <f>$W3*AM3</f>
        <v>0</v>
      </c>
      <c r="CU3" s="360">
        <f t="shared" ref="CU3:CU21" si="33">$X3*AM3</f>
        <v>0</v>
      </c>
      <c r="CV3" s="360">
        <f t="shared" ref="CV3:CV21" si="34">$Y3*AM3</f>
        <v>0</v>
      </c>
      <c r="CW3" s="360">
        <f t="shared" ref="CW3:CW21" si="35">$Z3*AM3</f>
        <v>0</v>
      </c>
      <c r="CX3" s="360">
        <f t="shared" ref="CX3:CX21" si="36">$U3*AN3</f>
        <v>0</v>
      </c>
      <c r="CY3" s="360">
        <f t="shared" ref="CY3:CY21" si="37">$V3*AN3</f>
        <v>0</v>
      </c>
      <c r="CZ3" s="360">
        <f t="shared" ref="CZ3:CZ21" si="38">$W3*AN3</f>
        <v>0</v>
      </c>
      <c r="DA3" s="360">
        <f t="shared" ref="DA3:DA21" si="39">$X3*AN3</f>
        <v>0</v>
      </c>
      <c r="DB3" s="360">
        <f t="shared" ref="DB3:DB21" si="40">$Y3*AN3</f>
        <v>0</v>
      </c>
      <c r="DC3" s="360">
        <f t="shared" ref="DC3:DC21" si="41">$Z3*AN3</f>
        <v>0</v>
      </c>
      <c r="DD3" s="360">
        <f t="shared" ref="DD3:DD21" si="42">$U3*AO3</f>
        <v>0</v>
      </c>
      <c r="DE3" s="360">
        <f t="shared" ref="DE3:DE21" si="43">$V3*AO3</f>
        <v>0</v>
      </c>
      <c r="DF3" s="360">
        <f t="shared" ref="DF3:DF21" si="44">$W3*AO3</f>
        <v>0</v>
      </c>
      <c r="DG3" s="360">
        <f t="shared" ref="DG3:DG21" si="45">$X3*AO3</f>
        <v>0</v>
      </c>
      <c r="DH3" s="360">
        <f t="shared" ref="DH3:DH21" si="46">$Y3*AO3</f>
        <v>0</v>
      </c>
      <c r="DI3" s="360">
        <f t="shared" ref="DI3:DI21" si="47">$Z3*AO3</f>
        <v>0</v>
      </c>
    </row>
    <row r="4" spans="1:113" ht="84" x14ac:dyDescent="0.3">
      <c r="A4" s="55" t="s">
        <v>1827</v>
      </c>
      <c r="B4" s="90" t="s">
        <v>1828</v>
      </c>
      <c r="C4" s="1" t="s">
        <v>1829</v>
      </c>
      <c r="D4" s="1" t="s">
        <v>246</v>
      </c>
      <c r="E4" s="1" t="s">
        <v>1830</v>
      </c>
      <c r="F4" s="94" t="s">
        <v>1820</v>
      </c>
      <c r="G4" s="115" t="s">
        <v>1821</v>
      </c>
      <c r="H4" s="162"/>
      <c r="I4" s="57">
        <v>0</v>
      </c>
      <c r="J4" s="57" t="s">
        <v>232</v>
      </c>
      <c r="K4" s="112">
        <v>0</v>
      </c>
      <c r="L4" s="117"/>
      <c r="M4" s="389" t="s">
        <v>232</v>
      </c>
      <c r="N4" s="96" t="s">
        <v>1831</v>
      </c>
      <c r="O4" s="98"/>
      <c r="P4" s="9"/>
      <c r="Q4" s="9"/>
      <c r="R4" s="9"/>
      <c r="S4" s="9"/>
      <c r="T4" s="103"/>
      <c r="U4" s="224"/>
      <c r="V4" s="226"/>
      <c r="W4" s="226"/>
      <c r="X4" s="226"/>
      <c r="Y4" s="226"/>
      <c r="Z4" s="227"/>
      <c r="AA4" s="96" t="s">
        <v>1823</v>
      </c>
      <c r="AB4" s="1" t="s">
        <v>239</v>
      </c>
      <c r="AC4" s="1" t="s">
        <v>1832</v>
      </c>
      <c r="AD4" s="277" t="s">
        <v>1825</v>
      </c>
      <c r="AE4" s="90"/>
      <c r="AF4" s="97" t="s">
        <v>242</v>
      </c>
      <c r="AG4" s="94" t="s">
        <v>1826</v>
      </c>
      <c r="AH4" s="418"/>
      <c r="AI4" s="419"/>
      <c r="AJ4" s="8"/>
      <c r="AK4" s="8"/>
      <c r="AL4" s="8"/>
      <c r="AM4" s="8"/>
      <c r="AN4" s="8"/>
      <c r="AO4" s="8"/>
      <c r="AP4" s="8"/>
      <c r="AQ4" s="8"/>
      <c r="AR4" s="8"/>
      <c r="AS4" s="8"/>
      <c r="AT4" s="8"/>
      <c r="AU4" s="8"/>
      <c r="AV4" s="8"/>
      <c r="AW4" s="8"/>
      <c r="AX4" s="8"/>
      <c r="AY4" s="8"/>
      <c r="AZ4" s="8"/>
      <c r="BA4" s="8"/>
      <c r="BB4" s="8"/>
      <c r="BC4" s="8"/>
      <c r="BD4" s="8"/>
      <c r="BE4" s="8"/>
      <c r="BF4" s="8"/>
      <c r="BG4" s="8"/>
      <c r="BH4" s="8"/>
      <c r="BI4" s="8"/>
      <c r="BJ4" s="8"/>
      <c r="BK4" s="288" t="b">
        <f t="shared" si="0"/>
        <v>1</v>
      </c>
      <c r="BM4" s="356"/>
      <c r="BN4" s="360">
        <f t="shared" si="1"/>
        <v>0</v>
      </c>
      <c r="BO4" s="360">
        <f t="shared" si="2"/>
        <v>0</v>
      </c>
      <c r="BP4" s="360">
        <f t="shared" si="3"/>
        <v>0</v>
      </c>
      <c r="BQ4" s="360">
        <f t="shared" si="4"/>
        <v>0</v>
      </c>
      <c r="BR4" s="360">
        <f t="shared" si="5"/>
        <v>0</v>
      </c>
      <c r="BS4" s="360">
        <f t="shared" si="6"/>
        <v>0</v>
      </c>
      <c r="BT4" s="360">
        <f t="shared" si="7"/>
        <v>0</v>
      </c>
      <c r="BU4" s="360">
        <f t="shared" si="8"/>
        <v>0</v>
      </c>
      <c r="BV4" s="360">
        <f t="shared" si="9"/>
        <v>0</v>
      </c>
      <c r="BW4" s="360">
        <f t="shared" si="10"/>
        <v>0</v>
      </c>
      <c r="BX4" s="360">
        <f t="shared" si="11"/>
        <v>0</v>
      </c>
      <c r="BY4" s="360">
        <f t="shared" si="12"/>
        <v>0</v>
      </c>
      <c r="BZ4" s="360">
        <f t="shared" si="13"/>
        <v>0</v>
      </c>
      <c r="CA4" s="360">
        <f t="shared" si="14"/>
        <v>0</v>
      </c>
      <c r="CB4" s="360">
        <f t="shared" si="15"/>
        <v>0</v>
      </c>
      <c r="CC4" s="360">
        <f t="shared" si="16"/>
        <v>0</v>
      </c>
      <c r="CD4" s="360">
        <f t="shared" si="17"/>
        <v>0</v>
      </c>
      <c r="CE4" s="360">
        <f t="shared" si="18"/>
        <v>0</v>
      </c>
      <c r="CF4" s="360">
        <f t="shared" si="19"/>
        <v>0</v>
      </c>
      <c r="CG4" s="360">
        <f t="shared" si="20"/>
        <v>0</v>
      </c>
      <c r="CH4" s="360">
        <f t="shared" si="21"/>
        <v>0</v>
      </c>
      <c r="CI4" s="360">
        <f t="shared" si="22"/>
        <v>0</v>
      </c>
      <c r="CJ4" s="360">
        <f t="shared" si="23"/>
        <v>0</v>
      </c>
      <c r="CK4" s="360">
        <f t="shared" si="24"/>
        <v>0</v>
      </c>
      <c r="CL4" s="360">
        <f t="shared" si="25"/>
        <v>0</v>
      </c>
      <c r="CM4" s="360">
        <f t="shared" si="26"/>
        <v>0</v>
      </c>
      <c r="CN4" s="360">
        <f t="shared" si="27"/>
        <v>0</v>
      </c>
      <c r="CO4" s="360">
        <f t="shared" si="28"/>
        <v>0</v>
      </c>
      <c r="CP4" s="360">
        <f t="shared" si="29"/>
        <v>0</v>
      </c>
      <c r="CQ4" s="360">
        <f t="shared" si="30"/>
        <v>0</v>
      </c>
      <c r="CR4" s="360">
        <f t="shared" si="31"/>
        <v>0</v>
      </c>
      <c r="CS4" s="360">
        <f t="shared" si="32"/>
        <v>0</v>
      </c>
      <c r="CT4" s="360">
        <f t="shared" ref="CT4:CT21" si="48">$W4*AM4</f>
        <v>0</v>
      </c>
      <c r="CU4" s="360">
        <f t="shared" si="33"/>
        <v>0</v>
      </c>
      <c r="CV4" s="360">
        <f t="shared" si="34"/>
        <v>0</v>
      </c>
      <c r="CW4" s="360">
        <f t="shared" si="35"/>
        <v>0</v>
      </c>
      <c r="CX4" s="360">
        <f t="shared" si="36"/>
        <v>0</v>
      </c>
      <c r="CY4" s="360">
        <f t="shared" si="37"/>
        <v>0</v>
      </c>
      <c r="CZ4" s="360">
        <f t="shared" si="38"/>
        <v>0</v>
      </c>
      <c r="DA4" s="360">
        <f t="shared" si="39"/>
        <v>0</v>
      </c>
      <c r="DB4" s="360">
        <f t="shared" si="40"/>
        <v>0</v>
      </c>
      <c r="DC4" s="360">
        <f t="shared" si="41"/>
        <v>0</v>
      </c>
      <c r="DD4" s="360">
        <f t="shared" si="42"/>
        <v>0</v>
      </c>
      <c r="DE4" s="360">
        <f t="shared" si="43"/>
        <v>0</v>
      </c>
      <c r="DF4" s="360">
        <f t="shared" si="44"/>
        <v>0</v>
      </c>
      <c r="DG4" s="360">
        <f t="shared" si="45"/>
        <v>0</v>
      </c>
      <c r="DH4" s="360">
        <f t="shared" si="46"/>
        <v>0</v>
      </c>
      <c r="DI4" s="360">
        <f t="shared" si="47"/>
        <v>0</v>
      </c>
    </row>
    <row r="5" spans="1:113" ht="14" x14ac:dyDescent="0.3">
      <c r="A5" s="16" t="s">
        <v>1833</v>
      </c>
      <c r="B5" s="144"/>
      <c r="C5" s="13"/>
      <c r="D5" s="13"/>
      <c r="E5" s="13"/>
      <c r="F5" s="155"/>
      <c r="G5" s="154"/>
      <c r="H5" s="41"/>
      <c r="I5" s="27"/>
      <c r="J5" s="27"/>
      <c r="K5" s="27"/>
      <c r="L5" s="27"/>
      <c r="M5" s="157"/>
      <c r="N5" s="156"/>
      <c r="O5" s="28"/>
      <c r="P5" s="28"/>
      <c r="Q5" s="28"/>
      <c r="R5" s="28"/>
      <c r="S5" s="28"/>
      <c r="T5" s="159"/>
      <c r="U5" s="229"/>
      <c r="V5" s="229"/>
      <c r="W5" s="229"/>
      <c r="X5" s="229"/>
      <c r="Y5" s="229"/>
      <c r="Z5" s="230"/>
      <c r="AA5" s="158"/>
      <c r="AB5" s="52"/>
      <c r="AC5" s="14"/>
      <c r="AD5" s="14"/>
      <c r="AE5" s="213"/>
      <c r="AF5" s="52"/>
      <c r="AG5" s="155"/>
      <c r="AH5" s="133"/>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288"/>
      <c r="BM5" s="356"/>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row>
    <row r="6" spans="1:113" ht="56" x14ac:dyDescent="0.3">
      <c r="A6" s="55" t="s">
        <v>1834</v>
      </c>
      <c r="B6" s="90" t="s">
        <v>1835</v>
      </c>
      <c r="C6" s="1" t="s">
        <v>1836</v>
      </c>
      <c r="D6" s="1" t="s">
        <v>246</v>
      </c>
      <c r="E6" s="1" t="s">
        <v>1837</v>
      </c>
      <c r="F6" s="94" t="s">
        <v>1820</v>
      </c>
      <c r="G6" s="111">
        <v>900000</v>
      </c>
      <c r="H6" s="162" t="s">
        <v>309</v>
      </c>
      <c r="I6" s="57">
        <v>0</v>
      </c>
      <c r="J6" s="57">
        <f>G6:G9</f>
        <v>900000</v>
      </c>
      <c r="K6" s="112">
        <v>0</v>
      </c>
      <c r="L6" s="117"/>
      <c r="M6" s="389" t="s">
        <v>232</v>
      </c>
      <c r="N6" s="96" t="s">
        <v>308</v>
      </c>
      <c r="O6" s="98"/>
      <c r="P6" s="9"/>
      <c r="Q6" s="9"/>
      <c r="R6" s="9"/>
      <c r="S6" s="9"/>
      <c r="T6" s="103"/>
      <c r="U6" s="224"/>
      <c r="V6" s="226"/>
      <c r="W6" s="226"/>
      <c r="X6" s="226"/>
      <c r="Y6" s="226"/>
      <c r="Z6" s="227"/>
      <c r="AA6" s="96" t="s">
        <v>1823</v>
      </c>
      <c r="AB6" s="1" t="s">
        <v>309</v>
      </c>
      <c r="AC6" s="1" t="s">
        <v>1838</v>
      </c>
      <c r="AD6" s="274" t="s">
        <v>241</v>
      </c>
      <c r="AE6" s="90"/>
      <c r="AF6" s="405" t="s">
        <v>461</v>
      </c>
      <c r="AG6" s="94" t="s">
        <v>1826</v>
      </c>
      <c r="AH6" s="132"/>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288" t="b">
        <f t="shared" si="0"/>
        <v>1</v>
      </c>
      <c r="BM6" s="356"/>
      <c r="BN6" s="360">
        <f t="shared" si="1"/>
        <v>0</v>
      </c>
      <c r="BO6" s="360">
        <f t="shared" si="2"/>
        <v>0</v>
      </c>
      <c r="BP6" s="360">
        <f t="shared" si="3"/>
        <v>0</v>
      </c>
      <c r="BQ6" s="360">
        <f t="shared" si="4"/>
        <v>0</v>
      </c>
      <c r="BR6" s="360">
        <f t="shared" si="5"/>
        <v>0</v>
      </c>
      <c r="BS6" s="360">
        <f t="shared" si="6"/>
        <v>0</v>
      </c>
      <c r="BT6" s="360">
        <f t="shared" si="7"/>
        <v>0</v>
      </c>
      <c r="BU6" s="360">
        <f t="shared" si="8"/>
        <v>0</v>
      </c>
      <c r="BV6" s="360">
        <f t="shared" si="9"/>
        <v>0</v>
      </c>
      <c r="BW6" s="360">
        <f t="shared" si="10"/>
        <v>0</v>
      </c>
      <c r="BX6" s="360">
        <f t="shared" si="11"/>
        <v>0</v>
      </c>
      <c r="BY6" s="360">
        <f t="shared" si="12"/>
        <v>0</v>
      </c>
      <c r="BZ6" s="360">
        <f t="shared" si="13"/>
        <v>0</v>
      </c>
      <c r="CA6" s="360">
        <f t="shared" si="14"/>
        <v>0</v>
      </c>
      <c r="CB6" s="360">
        <f t="shared" si="15"/>
        <v>0</v>
      </c>
      <c r="CC6" s="360">
        <f t="shared" si="16"/>
        <v>0</v>
      </c>
      <c r="CD6" s="360">
        <f t="shared" si="17"/>
        <v>0</v>
      </c>
      <c r="CE6" s="360">
        <f t="shared" si="18"/>
        <v>0</v>
      </c>
      <c r="CF6" s="360">
        <f t="shared" si="19"/>
        <v>0</v>
      </c>
      <c r="CG6" s="360">
        <f t="shared" si="20"/>
        <v>0</v>
      </c>
      <c r="CH6" s="360">
        <f t="shared" si="21"/>
        <v>0</v>
      </c>
      <c r="CI6" s="360">
        <f t="shared" si="22"/>
        <v>0</v>
      </c>
      <c r="CJ6" s="360">
        <f t="shared" si="23"/>
        <v>0</v>
      </c>
      <c r="CK6" s="360">
        <f t="shared" si="24"/>
        <v>0</v>
      </c>
      <c r="CL6" s="360">
        <f t="shared" si="25"/>
        <v>0</v>
      </c>
      <c r="CM6" s="360">
        <f t="shared" si="26"/>
        <v>0</v>
      </c>
      <c r="CN6" s="360">
        <f t="shared" si="27"/>
        <v>0</v>
      </c>
      <c r="CO6" s="360">
        <f t="shared" si="28"/>
        <v>0</v>
      </c>
      <c r="CP6" s="360">
        <f t="shared" si="29"/>
        <v>0</v>
      </c>
      <c r="CQ6" s="360">
        <f t="shared" si="30"/>
        <v>0</v>
      </c>
      <c r="CR6" s="360">
        <f t="shared" si="31"/>
        <v>0</v>
      </c>
      <c r="CS6" s="360">
        <f t="shared" si="32"/>
        <v>0</v>
      </c>
      <c r="CT6" s="360">
        <f t="shared" si="48"/>
        <v>0</v>
      </c>
      <c r="CU6" s="360">
        <f t="shared" si="33"/>
        <v>0</v>
      </c>
      <c r="CV6" s="360">
        <f t="shared" si="34"/>
        <v>0</v>
      </c>
      <c r="CW6" s="360">
        <f t="shared" si="35"/>
        <v>0</v>
      </c>
      <c r="CX6" s="360">
        <f t="shared" si="36"/>
        <v>0</v>
      </c>
      <c r="CY6" s="360">
        <f t="shared" si="37"/>
        <v>0</v>
      </c>
      <c r="CZ6" s="360">
        <f t="shared" si="38"/>
        <v>0</v>
      </c>
      <c r="DA6" s="360">
        <f t="shared" si="39"/>
        <v>0</v>
      </c>
      <c r="DB6" s="360">
        <f t="shared" si="40"/>
        <v>0</v>
      </c>
      <c r="DC6" s="360">
        <f t="shared" si="41"/>
        <v>0</v>
      </c>
      <c r="DD6" s="360">
        <f t="shared" si="42"/>
        <v>0</v>
      </c>
      <c r="DE6" s="360">
        <f t="shared" si="43"/>
        <v>0</v>
      </c>
      <c r="DF6" s="360">
        <f t="shared" si="44"/>
        <v>0</v>
      </c>
      <c r="DG6" s="360">
        <f t="shared" si="45"/>
        <v>0</v>
      </c>
      <c r="DH6" s="360">
        <f t="shared" si="46"/>
        <v>0</v>
      </c>
      <c r="DI6" s="360">
        <f t="shared" si="47"/>
        <v>0</v>
      </c>
    </row>
    <row r="7" spans="1:113" ht="56" x14ac:dyDescent="0.3">
      <c r="A7" s="55" t="s">
        <v>1839</v>
      </c>
      <c r="B7" s="90" t="s">
        <v>1840</v>
      </c>
      <c r="C7" s="1" t="s">
        <v>1841</v>
      </c>
      <c r="D7" s="1" t="s">
        <v>246</v>
      </c>
      <c r="E7" s="1" t="s">
        <v>1837</v>
      </c>
      <c r="F7" s="94" t="s">
        <v>1820</v>
      </c>
      <c r="G7" s="111">
        <v>1100000</v>
      </c>
      <c r="H7" s="162" t="s">
        <v>309</v>
      </c>
      <c r="I7" s="57">
        <v>0</v>
      </c>
      <c r="J7" s="57">
        <f>G7:G10</f>
        <v>1100000</v>
      </c>
      <c r="K7" s="112">
        <v>0</v>
      </c>
      <c r="L7" s="117"/>
      <c r="M7" s="389" t="s">
        <v>232</v>
      </c>
      <c r="N7" s="96" t="s">
        <v>308</v>
      </c>
      <c r="O7" s="98"/>
      <c r="P7" s="9"/>
      <c r="Q7" s="9"/>
      <c r="R7" s="9"/>
      <c r="S7" s="9"/>
      <c r="T7" s="103"/>
      <c r="U7" s="224"/>
      <c r="V7" s="226"/>
      <c r="W7" s="226"/>
      <c r="X7" s="226"/>
      <c r="Y7" s="226"/>
      <c r="Z7" s="227"/>
      <c r="AA7" s="96" t="s">
        <v>1823</v>
      </c>
      <c r="AB7" s="1" t="s">
        <v>309</v>
      </c>
      <c r="AC7" s="1" t="s">
        <v>1838</v>
      </c>
      <c r="AD7" s="274" t="s">
        <v>241</v>
      </c>
      <c r="AE7" s="90"/>
      <c r="AF7" s="97" t="s">
        <v>242</v>
      </c>
      <c r="AG7" s="94" t="s">
        <v>1826</v>
      </c>
      <c r="AH7" s="132"/>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288" t="b">
        <f t="shared" si="0"/>
        <v>1</v>
      </c>
      <c r="BM7" s="356"/>
      <c r="BN7" s="360">
        <f t="shared" si="1"/>
        <v>0</v>
      </c>
      <c r="BO7" s="360">
        <f t="shared" si="2"/>
        <v>0</v>
      </c>
      <c r="BP7" s="360">
        <f t="shared" si="3"/>
        <v>0</v>
      </c>
      <c r="BQ7" s="360">
        <f t="shared" si="4"/>
        <v>0</v>
      </c>
      <c r="BR7" s="360">
        <f t="shared" si="5"/>
        <v>0</v>
      </c>
      <c r="BS7" s="360">
        <f t="shared" si="6"/>
        <v>0</v>
      </c>
      <c r="BT7" s="360">
        <f t="shared" si="7"/>
        <v>0</v>
      </c>
      <c r="BU7" s="360">
        <f t="shared" si="8"/>
        <v>0</v>
      </c>
      <c r="BV7" s="360">
        <f t="shared" si="9"/>
        <v>0</v>
      </c>
      <c r="BW7" s="360">
        <f t="shared" si="10"/>
        <v>0</v>
      </c>
      <c r="BX7" s="360">
        <f t="shared" si="11"/>
        <v>0</v>
      </c>
      <c r="BY7" s="360">
        <f t="shared" si="12"/>
        <v>0</v>
      </c>
      <c r="BZ7" s="360">
        <f t="shared" si="13"/>
        <v>0</v>
      </c>
      <c r="CA7" s="360">
        <f t="shared" si="14"/>
        <v>0</v>
      </c>
      <c r="CB7" s="360">
        <f t="shared" si="15"/>
        <v>0</v>
      </c>
      <c r="CC7" s="360">
        <f t="shared" si="16"/>
        <v>0</v>
      </c>
      <c r="CD7" s="360">
        <f t="shared" si="17"/>
        <v>0</v>
      </c>
      <c r="CE7" s="360">
        <f t="shared" si="18"/>
        <v>0</v>
      </c>
      <c r="CF7" s="360">
        <f t="shared" si="19"/>
        <v>0</v>
      </c>
      <c r="CG7" s="360">
        <f t="shared" si="20"/>
        <v>0</v>
      </c>
      <c r="CH7" s="360">
        <f t="shared" si="21"/>
        <v>0</v>
      </c>
      <c r="CI7" s="360">
        <f t="shared" si="22"/>
        <v>0</v>
      </c>
      <c r="CJ7" s="360">
        <f t="shared" si="23"/>
        <v>0</v>
      </c>
      <c r="CK7" s="360">
        <f t="shared" si="24"/>
        <v>0</v>
      </c>
      <c r="CL7" s="360">
        <f t="shared" si="25"/>
        <v>0</v>
      </c>
      <c r="CM7" s="360">
        <f t="shared" si="26"/>
        <v>0</v>
      </c>
      <c r="CN7" s="360">
        <f t="shared" si="27"/>
        <v>0</v>
      </c>
      <c r="CO7" s="360">
        <f t="shared" si="28"/>
        <v>0</v>
      </c>
      <c r="CP7" s="360">
        <f t="shared" si="29"/>
        <v>0</v>
      </c>
      <c r="CQ7" s="360">
        <f t="shared" si="30"/>
        <v>0</v>
      </c>
      <c r="CR7" s="360">
        <f t="shared" si="31"/>
        <v>0</v>
      </c>
      <c r="CS7" s="360">
        <f t="shared" si="32"/>
        <v>0</v>
      </c>
      <c r="CT7" s="360">
        <f t="shared" si="48"/>
        <v>0</v>
      </c>
      <c r="CU7" s="360">
        <f t="shared" si="33"/>
        <v>0</v>
      </c>
      <c r="CV7" s="360">
        <f t="shared" si="34"/>
        <v>0</v>
      </c>
      <c r="CW7" s="360">
        <f t="shared" si="35"/>
        <v>0</v>
      </c>
      <c r="CX7" s="360">
        <f t="shared" si="36"/>
        <v>0</v>
      </c>
      <c r="CY7" s="360">
        <f t="shared" si="37"/>
        <v>0</v>
      </c>
      <c r="CZ7" s="360">
        <f t="shared" si="38"/>
        <v>0</v>
      </c>
      <c r="DA7" s="360">
        <f t="shared" si="39"/>
        <v>0</v>
      </c>
      <c r="DB7" s="360">
        <f t="shared" si="40"/>
        <v>0</v>
      </c>
      <c r="DC7" s="360">
        <f t="shared" si="41"/>
        <v>0</v>
      </c>
      <c r="DD7" s="360">
        <f t="shared" si="42"/>
        <v>0</v>
      </c>
      <c r="DE7" s="360">
        <f t="shared" si="43"/>
        <v>0</v>
      </c>
      <c r="DF7" s="360">
        <f t="shared" si="44"/>
        <v>0</v>
      </c>
      <c r="DG7" s="360">
        <f t="shared" si="45"/>
        <v>0</v>
      </c>
      <c r="DH7" s="360">
        <f t="shared" si="46"/>
        <v>0</v>
      </c>
      <c r="DI7" s="360">
        <f t="shared" si="47"/>
        <v>0</v>
      </c>
    </row>
    <row r="8" spans="1:113" ht="56" x14ac:dyDescent="0.3">
      <c r="A8" s="55" t="s">
        <v>1842</v>
      </c>
      <c r="B8" s="90" t="s">
        <v>1843</v>
      </c>
      <c r="C8" s="1" t="s">
        <v>1844</v>
      </c>
      <c r="D8" s="1" t="s">
        <v>246</v>
      </c>
      <c r="E8" s="1" t="s">
        <v>1837</v>
      </c>
      <c r="F8" s="94" t="s">
        <v>1820</v>
      </c>
      <c r="G8" s="111">
        <v>5400000</v>
      </c>
      <c r="H8" s="162" t="s">
        <v>309</v>
      </c>
      <c r="I8" s="57">
        <v>0</v>
      </c>
      <c r="J8" s="57">
        <f>G8:G11</f>
        <v>5400000</v>
      </c>
      <c r="K8" s="112">
        <v>0</v>
      </c>
      <c r="L8" s="117"/>
      <c r="M8" s="389" t="s">
        <v>232</v>
      </c>
      <c r="N8" s="96" t="s">
        <v>308</v>
      </c>
      <c r="O8" s="98"/>
      <c r="P8" s="9"/>
      <c r="Q8" s="9"/>
      <c r="R8" s="9"/>
      <c r="S8" s="9"/>
      <c r="T8" s="103"/>
      <c r="U8" s="224"/>
      <c r="V8" s="226"/>
      <c r="W8" s="226"/>
      <c r="X8" s="226"/>
      <c r="Y8" s="226"/>
      <c r="Z8" s="227"/>
      <c r="AA8" s="96" t="s">
        <v>1823</v>
      </c>
      <c r="AB8" s="1" t="s">
        <v>309</v>
      </c>
      <c r="AC8" s="1" t="s">
        <v>1838</v>
      </c>
      <c r="AD8" s="274" t="s">
        <v>241</v>
      </c>
      <c r="AE8" s="90"/>
      <c r="AF8" s="97" t="s">
        <v>242</v>
      </c>
      <c r="AG8" s="94" t="s">
        <v>1826</v>
      </c>
      <c r="AH8" s="132"/>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288" t="b">
        <f t="shared" si="0"/>
        <v>1</v>
      </c>
      <c r="BM8" s="356"/>
      <c r="BN8" s="360">
        <f t="shared" si="1"/>
        <v>0</v>
      </c>
      <c r="BO8" s="360">
        <f t="shared" si="2"/>
        <v>0</v>
      </c>
      <c r="BP8" s="360">
        <f t="shared" si="3"/>
        <v>0</v>
      </c>
      <c r="BQ8" s="360">
        <f t="shared" si="4"/>
        <v>0</v>
      </c>
      <c r="BR8" s="360">
        <f t="shared" si="5"/>
        <v>0</v>
      </c>
      <c r="BS8" s="360">
        <f t="shared" si="6"/>
        <v>0</v>
      </c>
      <c r="BT8" s="360">
        <f t="shared" si="7"/>
        <v>0</v>
      </c>
      <c r="BU8" s="360">
        <f t="shared" si="8"/>
        <v>0</v>
      </c>
      <c r="BV8" s="360">
        <f t="shared" si="9"/>
        <v>0</v>
      </c>
      <c r="BW8" s="360">
        <f t="shared" si="10"/>
        <v>0</v>
      </c>
      <c r="BX8" s="360">
        <f t="shared" si="11"/>
        <v>0</v>
      </c>
      <c r="BY8" s="360">
        <f t="shared" si="12"/>
        <v>0</v>
      </c>
      <c r="BZ8" s="360">
        <f t="shared" si="13"/>
        <v>0</v>
      </c>
      <c r="CA8" s="360">
        <f t="shared" si="14"/>
        <v>0</v>
      </c>
      <c r="CB8" s="360">
        <f t="shared" si="15"/>
        <v>0</v>
      </c>
      <c r="CC8" s="360">
        <f t="shared" si="16"/>
        <v>0</v>
      </c>
      <c r="CD8" s="360">
        <f t="shared" si="17"/>
        <v>0</v>
      </c>
      <c r="CE8" s="360">
        <f t="shared" si="18"/>
        <v>0</v>
      </c>
      <c r="CF8" s="360">
        <f t="shared" si="19"/>
        <v>0</v>
      </c>
      <c r="CG8" s="360">
        <f t="shared" si="20"/>
        <v>0</v>
      </c>
      <c r="CH8" s="360">
        <f t="shared" si="21"/>
        <v>0</v>
      </c>
      <c r="CI8" s="360">
        <f t="shared" si="22"/>
        <v>0</v>
      </c>
      <c r="CJ8" s="360">
        <f t="shared" si="23"/>
        <v>0</v>
      </c>
      <c r="CK8" s="360">
        <f t="shared" si="24"/>
        <v>0</v>
      </c>
      <c r="CL8" s="360">
        <f t="shared" si="25"/>
        <v>0</v>
      </c>
      <c r="CM8" s="360">
        <f t="shared" si="26"/>
        <v>0</v>
      </c>
      <c r="CN8" s="360">
        <f t="shared" si="27"/>
        <v>0</v>
      </c>
      <c r="CO8" s="360">
        <f t="shared" si="28"/>
        <v>0</v>
      </c>
      <c r="CP8" s="360">
        <f t="shared" si="29"/>
        <v>0</v>
      </c>
      <c r="CQ8" s="360">
        <f t="shared" si="30"/>
        <v>0</v>
      </c>
      <c r="CR8" s="360">
        <f t="shared" si="31"/>
        <v>0</v>
      </c>
      <c r="CS8" s="360">
        <f t="shared" si="32"/>
        <v>0</v>
      </c>
      <c r="CT8" s="360">
        <f t="shared" si="48"/>
        <v>0</v>
      </c>
      <c r="CU8" s="360">
        <f t="shared" si="33"/>
        <v>0</v>
      </c>
      <c r="CV8" s="360">
        <f t="shared" si="34"/>
        <v>0</v>
      </c>
      <c r="CW8" s="360">
        <f t="shared" si="35"/>
        <v>0</v>
      </c>
      <c r="CX8" s="360">
        <f t="shared" si="36"/>
        <v>0</v>
      </c>
      <c r="CY8" s="360">
        <f t="shared" si="37"/>
        <v>0</v>
      </c>
      <c r="CZ8" s="360">
        <f t="shared" si="38"/>
        <v>0</v>
      </c>
      <c r="DA8" s="360">
        <f t="shared" si="39"/>
        <v>0</v>
      </c>
      <c r="DB8" s="360">
        <f t="shared" si="40"/>
        <v>0</v>
      </c>
      <c r="DC8" s="360">
        <f t="shared" si="41"/>
        <v>0</v>
      </c>
      <c r="DD8" s="360">
        <f t="shared" si="42"/>
        <v>0</v>
      </c>
      <c r="DE8" s="360">
        <f t="shared" si="43"/>
        <v>0</v>
      </c>
      <c r="DF8" s="360">
        <f t="shared" si="44"/>
        <v>0</v>
      </c>
      <c r="DG8" s="360">
        <f t="shared" si="45"/>
        <v>0</v>
      </c>
      <c r="DH8" s="360">
        <f t="shared" si="46"/>
        <v>0</v>
      </c>
      <c r="DI8" s="360">
        <f t="shared" si="47"/>
        <v>0</v>
      </c>
    </row>
    <row r="9" spans="1:113" ht="56" x14ac:dyDescent="0.3">
      <c r="A9" s="55" t="s">
        <v>1845</v>
      </c>
      <c r="B9" s="90" t="s">
        <v>1846</v>
      </c>
      <c r="C9" s="1" t="s">
        <v>1847</v>
      </c>
      <c r="D9" s="1" t="s">
        <v>246</v>
      </c>
      <c r="E9" s="1" t="s">
        <v>1837</v>
      </c>
      <c r="F9" s="94" t="s">
        <v>1820</v>
      </c>
      <c r="G9" s="111">
        <v>1400000</v>
      </c>
      <c r="H9" s="162" t="s">
        <v>309</v>
      </c>
      <c r="I9" s="57">
        <v>0</v>
      </c>
      <c r="J9" s="57">
        <f>G9:G12</f>
        <v>1400000</v>
      </c>
      <c r="K9" s="112">
        <v>0</v>
      </c>
      <c r="L9" s="117"/>
      <c r="M9" s="389" t="s">
        <v>232</v>
      </c>
      <c r="N9" s="96" t="s">
        <v>308</v>
      </c>
      <c r="O9" s="98"/>
      <c r="P9" s="9"/>
      <c r="Q9" s="9"/>
      <c r="R9" s="9"/>
      <c r="S9" s="9"/>
      <c r="T9" s="103"/>
      <c r="U9" s="224"/>
      <c r="V9" s="226"/>
      <c r="W9" s="226"/>
      <c r="X9" s="226"/>
      <c r="Y9" s="226"/>
      <c r="Z9" s="227"/>
      <c r="AA9" s="96" t="s">
        <v>1823</v>
      </c>
      <c r="AB9" s="1" t="s">
        <v>309</v>
      </c>
      <c r="AC9" s="1" t="s">
        <v>1838</v>
      </c>
      <c r="AD9" s="274" t="s">
        <v>241</v>
      </c>
      <c r="AE9" s="90"/>
      <c r="AF9" s="97" t="s">
        <v>242</v>
      </c>
      <c r="AG9" s="94" t="s">
        <v>1826</v>
      </c>
      <c r="AH9" s="132"/>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288" t="b">
        <f t="shared" si="0"/>
        <v>1</v>
      </c>
      <c r="BM9" s="356"/>
      <c r="BN9" s="360">
        <f t="shared" si="1"/>
        <v>0</v>
      </c>
      <c r="BO9" s="360">
        <f t="shared" si="2"/>
        <v>0</v>
      </c>
      <c r="BP9" s="360">
        <f t="shared" si="3"/>
        <v>0</v>
      </c>
      <c r="BQ9" s="360">
        <f t="shared" si="4"/>
        <v>0</v>
      </c>
      <c r="BR9" s="360">
        <f t="shared" si="5"/>
        <v>0</v>
      </c>
      <c r="BS9" s="360">
        <f t="shared" si="6"/>
        <v>0</v>
      </c>
      <c r="BT9" s="360">
        <f t="shared" si="7"/>
        <v>0</v>
      </c>
      <c r="BU9" s="360">
        <f t="shared" si="8"/>
        <v>0</v>
      </c>
      <c r="BV9" s="360">
        <f t="shared" si="9"/>
        <v>0</v>
      </c>
      <c r="BW9" s="360">
        <f t="shared" si="10"/>
        <v>0</v>
      </c>
      <c r="BX9" s="360">
        <f t="shared" si="11"/>
        <v>0</v>
      </c>
      <c r="BY9" s="360">
        <f t="shared" si="12"/>
        <v>0</v>
      </c>
      <c r="BZ9" s="360">
        <f t="shared" si="13"/>
        <v>0</v>
      </c>
      <c r="CA9" s="360">
        <f t="shared" si="14"/>
        <v>0</v>
      </c>
      <c r="CB9" s="360">
        <f t="shared" si="15"/>
        <v>0</v>
      </c>
      <c r="CC9" s="360">
        <f t="shared" si="16"/>
        <v>0</v>
      </c>
      <c r="CD9" s="360">
        <f t="shared" si="17"/>
        <v>0</v>
      </c>
      <c r="CE9" s="360">
        <f t="shared" si="18"/>
        <v>0</v>
      </c>
      <c r="CF9" s="360">
        <f t="shared" si="19"/>
        <v>0</v>
      </c>
      <c r="CG9" s="360">
        <f t="shared" si="20"/>
        <v>0</v>
      </c>
      <c r="CH9" s="360">
        <f t="shared" si="21"/>
        <v>0</v>
      </c>
      <c r="CI9" s="360">
        <f t="shared" si="22"/>
        <v>0</v>
      </c>
      <c r="CJ9" s="360">
        <f t="shared" si="23"/>
        <v>0</v>
      </c>
      <c r="CK9" s="360">
        <f t="shared" si="24"/>
        <v>0</v>
      </c>
      <c r="CL9" s="360">
        <f t="shared" si="25"/>
        <v>0</v>
      </c>
      <c r="CM9" s="360">
        <f t="shared" si="26"/>
        <v>0</v>
      </c>
      <c r="CN9" s="360">
        <f t="shared" si="27"/>
        <v>0</v>
      </c>
      <c r="CO9" s="360">
        <f t="shared" si="28"/>
        <v>0</v>
      </c>
      <c r="CP9" s="360">
        <f t="shared" si="29"/>
        <v>0</v>
      </c>
      <c r="CQ9" s="360">
        <f t="shared" si="30"/>
        <v>0</v>
      </c>
      <c r="CR9" s="360">
        <f t="shared" si="31"/>
        <v>0</v>
      </c>
      <c r="CS9" s="360">
        <f t="shared" si="32"/>
        <v>0</v>
      </c>
      <c r="CT9" s="360">
        <f t="shared" si="48"/>
        <v>0</v>
      </c>
      <c r="CU9" s="360">
        <f t="shared" si="33"/>
        <v>0</v>
      </c>
      <c r="CV9" s="360">
        <f t="shared" si="34"/>
        <v>0</v>
      </c>
      <c r="CW9" s="360">
        <f t="shared" si="35"/>
        <v>0</v>
      </c>
      <c r="CX9" s="360">
        <f t="shared" si="36"/>
        <v>0</v>
      </c>
      <c r="CY9" s="360">
        <f t="shared" si="37"/>
        <v>0</v>
      </c>
      <c r="CZ9" s="360">
        <f t="shared" si="38"/>
        <v>0</v>
      </c>
      <c r="DA9" s="360">
        <f t="shared" si="39"/>
        <v>0</v>
      </c>
      <c r="DB9" s="360">
        <f t="shared" si="40"/>
        <v>0</v>
      </c>
      <c r="DC9" s="360">
        <f t="shared" si="41"/>
        <v>0</v>
      </c>
      <c r="DD9" s="360">
        <f t="shared" si="42"/>
        <v>0</v>
      </c>
      <c r="DE9" s="360">
        <f t="shared" si="43"/>
        <v>0</v>
      </c>
      <c r="DF9" s="360">
        <f t="shared" si="44"/>
        <v>0</v>
      </c>
      <c r="DG9" s="360">
        <f t="shared" si="45"/>
        <v>0</v>
      </c>
      <c r="DH9" s="360">
        <f t="shared" si="46"/>
        <v>0</v>
      </c>
      <c r="DI9" s="360">
        <f t="shared" si="47"/>
        <v>0</v>
      </c>
    </row>
    <row r="10" spans="1:113" ht="57" customHeight="1" x14ac:dyDescent="0.3">
      <c r="A10" s="55" t="s">
        <v>1848</v>
      </c>
      <c r="B10" s="90" t="s">
        <v>1849</v>
      </c>
      <c r="C10" s="1" t="s">
        <v>1850</v>
      </c>
      <c r="D10" s="265" t="s">
        <v>297</v>
      </c>
      <c r="E10" s="1" t="s">
        <v>1837</v>
      </c>
      <c r="F10" s="94" t="s">
        <v>1820</v>
      </c>
      <c r="G10" s="111" t="s">
        <v>1851</v>
      </c>
      <c r="H10" s="162"/>
      <c r="I10" s="57">
        <v>0</v>
      </c>
      <c r="J10" s="57" t="s">
        <v>232</v>
      </c>
      <c r="K10" s="112" t="s">
        <v>232</v>
      </c>
      <c r="L10" s="117"/>
      <c r="M10" s="389" t="s">
        <v>232</v>
      </c>
      <c r="N10" s="96" t="s">
        <v>1852</v>
      </c>
      <c r="O10" s="9"/>
      <c r="P10" s="98"/>
      <c r="Q10" s="98"/>
      <c r="R10" s="98"/>
      <c r="S10" s="9"/>
      <c r="T10" s="103"/>
      <c r="U10" s="226"/>
      <c r="V10" s="224"/>
      <c r="W10" s="224"/>
      <c r="X10" s="224"/>
      <c r="Y10" s="226"/>
      <c r="Z10" s="227"/>
      <c r="AA10" s="96" t="s">
        <v>1853</v>
      </c>
      <c r="AB10" s="1" t="s">
        <v>239</v>
      </c>
      <c r="AC10" s="1" t="s">
        <v>1854</v>
      </c>
      <c r="AD10" s="274" t="s">
        <v>241</v>
      </c>
      <c r="AE10" s="90"/>
      <c r="AF10" s="97" t="s">
        <v>242</v>
      </c>
      <c r="AG10" s="94" t="s">
        <v>252</v>
      </c>
      <c r="AH10" s="132"/>
      <c r="AI10" s="8"/>
      <c r="AJ10" s="8"/>
      <c r="AK10" s="107" t="s">
        <v>371</v>
      </c>
      <c r="AL10" s="107" t="s">
        <v>371</v>
      </c>
      <c r="AM10" s="8"/>
      <c r="AN10" s="8"/>
      <c r="AO10" s="8"/>
      <c r="AP10" s="8"/>
      <c r="AQ10" s="8"/>
      <c r="AR10" s="8"/>
      <c r="AS10" s="8"/>
      <c r="AT10" s="8"/>
      <c r="AU10" s="8"/>
      <c r="AV10" s="8"/>
      <c r="AW10" s="8"/>
      <c r="AX10" s="8"/>
      <c r="AY10" s="8"/>
      <c r="AZ10" s="8"/>
      <c r="BA10" s="8"/>
      <c r="BB10" s="8"/>
      <c r="BC10" s="8"/>
      <c r="BD10" s="8"/>
      <c r="BE10" s="8"/>
      <c r="BF10" s="8"/>
      <c r="BG10" s="8"/>
      <c r="BH10" s="8"/>
      <c r="BI10" s="8"/>
      <c r="BJ10" s="8"/>
      <c r="BK10" s="288" t="b">
        <f t="shared" si="0"/>
        <v>0</v>
      </c>
      <c r="BM10" s="356"/>
      <c r="BN10" s="360">
        <f t="shared" si="1"/>
        <v>0</v>
      </c>
      <c r="BO10" s="360">
        <f t="shared" si="2"/>
        <v>0</v>
      </c>
      <c r="BP10" s="360">
        <f t="shared" si="3"/>
        <v>0</v>
      </c>
      <c r="BQ10" s="360">
        <f t="shared" si="4"/>
        <v>0</v>
      </c>
      <c r="BR10" s="360">
        <f t="shared" si="5"/>
        <v>0</v>
      </c>
      <c r="BS10" s="360">
        <f t="shared" si="6"/>
        <v>0</v>
      </c>
      <c r="BT10" s="360">
        <f t="shared" si="7"/>
        <v>0</v>
      </c>
      <c r="BU10" s="360">
        <f t="shared" si="8"/>
        <v>0</v>
      </c>
      <c r="BV10" s="360">
        <f t="shared" si="9"/>
        <v>0</v>
      </c>
      <c r="BW10" s="360">
        <f t="shared" si="10"/>
        <v>0</v>
      </c>
      <c r="BX10" s="360">
        <f t="shared" si="11"/>
        <v>0</v>
      </c>
      <c r="BY10" s="360">
        <f t="shared" si="12"/>
        <v>0</v>
      </c>
      <c r="BZ10" s="360">
        <f t="shared" si="13"/>
        <v>0</v>
      </c>
      <c r="CA10" s="360">
        <f t="shared" si="14"/>
        <v>0</v>
      </c>
      <c r="CB10" s="360">
        <f t="shared" si="15"/>
        <v>0</v>
      </c>
      <c r="CC10" s="360">
        <f t="shared" si="16"/>
        <v>0</v>
      </c>
      <c r="CD10" s="360">
        <f t="shared" si="17"/>
        <v>0</v>
      </c>
      <c r="CE10" s="360">
        <f t="shared" si="18"/>
        <v>0</v>
      </c>
      <c r="CF10" s="238"/>
      <c r="CG10" s="238"/>
      <c r="CH10" s="238"/>
      <c r="CI10" s="238"/>
      <c r="CJ10" s="238"/>
      <c r="CK10" s="238"/>
      <c r="CL10" s="238"/>
      <c r="CM10" s="238"/>
      <c r="CN10" s="238"/>
      <c r="CO10" s="238"/>
      <c r="CP10" s="238"/>
      <c r="CQ10" s="238"/>
      <c r="CR10" s="360">
        <f t="shared" si="31"/>
        <v>0</v>
      </c>
      <c r="CS10" s="360">
        <f t="shared" si="32"/>
        <v>0</v>
      </c>
      <c r="CT10" s="360">
        <f t="shared" si="48"/>
        <v>0</v>
      </c>
      <c r="CU10" s="360">
        <f t="shared" si="33"/>
        <v>0</v>
      </c>
      <c r="CV10" s="360">
        <f t="shared" si="34"/>
        <v>0</v>
      </c>
      <c r="CW10" s="360">
        <f t="shared" si="35"/>
        <v>0</v>
      </c>
      <c r="CX10" s="360">
        <f t="shared" si="36"/>
        <v>0</v>
      </c>
      <c r="CY10" s="360">
        <f t="shared" si="37"/>
        <v>0</v>
      </c>
      <c r="CZ10" s="360">
        <f t="shared" si="38"/>
        <v>0</v>
      </c>
      <c r="DA10" s="360">
        <f t="shared" si="39"/>
        <v>0</v>
      </c>
      <c r="DB10" s="360">
        <f t="shared" si="40"/>
        <v>0</v>
      </c>
      <c r="DC10" s="360">
        <f t="shared" si="41"/>
        <v>0</v>
      </c>
      <c r="DD10" s="360">
        <f t="shared" si="42"/>
        <v>0</v>
      </c>
      <c r="DE10" s="360">
        <f t="shared" si="43"/>
        <v>0</v>
      </c>
      <c r="DF10" s="360">
        <f t="shared" si="44"/>
        <v>0</v>
      </c>
      <c r="DG10" s="360">
        <f t="shared" si="45"/>
        <v>0</v>
      </c>
      <c r="DH10" s="360">
        <f t="shared" si="46"/>
        <v>0</v>
      </c>
      <c r="DI10" s="360">
        <f t="shared" si="47"/>
        <v>0</v>
      </c>
    </row>
    <row r="11" spans="1:113" ht="56" x14ac:dyDescent="0.3">
      <c r="A11" s="55" t="s">
        <v>1855</v>
      </c>
      <c r="B11" s="90"/>
      <c r="C11" s="1" t="s">
        <v>1856</v>
      </c>
      <c r="D11" s="1" t="s">
        <v>246</v>
      </c>
      <c r="E11" s="1" t="s">
        <v>1857</v>
      </c>
      <c r="F11" s="109" t="s">
        <v>1858</v>
      </c>
      <c r="G11" s="111">
        <v>29000000</v>
      </c>
      <c r="H11" s="162" t="s">
        <v>336</v>
      </c>
      <c r="I11" s="57">
        <v>0</v>
      </c>
      <c r="J11" s="57">
        <v>0</v>
      </c>
      <c r="K11" s="112">
        <f>J11</f>
        <v>0</v>
      </c>
      <c r="L11" s="147" t="s">
        <v>1859</v>
      </c>
      <c r="M11" s="389" t="s">
        <v>232</v>
      </c>
      <c r="N11" s="96" t="s">
        <v>890</v>
      </c>
      <c r="O11" s="98"/>
      <c r="P11" s="98"/>
      <c r="Q11" s="98"/>
      <c r="R11" s="98"/>
      <c r="S11" s="98"/>
      <c r="T11" s="160"/>
      <c r="U11" s="224"/>
      <c r="V11" s="224"/>
      <c r="W11" s="242">
        <v>0.5</v>
      </c>
      <c r="X11" s="242">
        <v>0.5</v>
      </c>
      <c r="Y11" s="224"/>
      <c r="Z11" s="228"/>
      <c r="AA11" s="96" t="s">
        <v>1860</v>
      </c>
      <c r="AB11" s="348" t="s">
        <v>336</v>
      </c>
      <c r="AC11" s="1" t="s">
        <v>367</v>
      </c>
      <c r="AD11" s="276" t="s">
        <v>382</v>
      </c>
      <c r="AE11" s="90"/>
      <c r="AF11" s="405" t="s">
        <v>461</v>
      </c>
      <c r="AG11" s="109" t="s">
        <v>232</v>
      </c>
      <c r="AH11" s="132"/>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288" t="b">
        <f t="shared" si="0"/>
        <v>1</v>
      </c>
      <c r="BM11" s="356"/>
      <c r="BN11" s="360">
        <f t="shared" si="1"/>
        <v>0</v>
      </c>
      <c r="BO11" s="360">
        <f t="shared" si="2"/>
        <v>0</v>
      </c>
      <c r="BP11" s="360">
        <f t="shared" si="3"/>
        <v>0</v>
      </c>
      <c r="BQ11" s="360">
        <f t="shared" si="4"/>
        <v>0</v>
      </c>
      <c r="BR11" s="360">
        <f t="shared" si="5"/>
        <v>0</v>
      </c>
      <c r="BS11" s="360">
        <f t="shared" si="6"/>
        <v>0</v>
      </c>
      <c r="BT11" s="360">
        <f t="shared" si="7"/>
        <v>0</v>
      </c>
      <c r="BU11" s="360">
        <f t="shared" si="8"/>
        <v>0</v>
      </c>
      <c r="BV11" s="360">
        <f t="shared" si="9"/>
        <v>0</v>
      </c>
      <c r="BW11" s="360">
        <f t="shared" si="10"/>
        <v>0</v>
      </c>
      <c r="BX11" s="360">
        <f t="shared" si="11"/>
        <v>0</v>
      </c>
      <c r="BY11" s="360">
        <f t="shared" si="12"/>
        <v>0</v>
      </c>
      <c r="BZ11" s="360">
        <f t="shared" si="13"/>
        <v>0</v>
      </c>
      <c r="CA11" s="360">
        <f t="shared" si="14"/>
        <v>0</v>
      </c>
      <c r="CB11" s="360">
        <f t="shared" si="15"/>
        <v>0</v>
      </c>
      <c r="CC11" s="360">
        <f t="shared" si="16"/>
        <v>0</v>
      </c>
      <c r="CD11" s="360">
        <f t="shared" si="17"/>
        <v>0</v>
      </c>
      <c r="CE11" s="360">
        <f t="shared" si="18"/>
        <v>0</v>
      </c>
      <c r="CF11" s="360">
        <f t="shared" si="19"/>
        <v>0</v>
      </c>
      <c r="CG11" s="360">
        <f t="shared" si="20"/>
        <v>0</v>
      </c>
      <c r="CH11" s="360">
        <f t="shared" si="21"/>
        <v>0</v>
      </c>
      <c r="CI11" s="360">
        <f t="shared" si="22"/>
        <v>0</v>
      </c>
      <c r="CJ11" s="360">
        <f t="shared" si="23"/>
        <v>0</v>
      </c>
      <c r="CK11" s="360">
        <f t="shared" si="24"/>
        <v>0</v>
      </c>
      <c r="CL11" s="360">
        <f t="shared" si="25"/>
        <v>0</v>
      </c>
      <c r="CM11" s="360">
        <f t="shared" si="26"/>
        <v>0</v>
      </c>
      <c r="CN11" s="360">
        <f t="shared" si="27"/>
        <v>0</v>
      </c>
      <c r="CO11" s="360">
        <f t="shared" si="28"/>
        <v>0</v>
      </c>
      <c r="CP11" s="360">
        <f t="shared" si="29"/>
        <v>0</v>
      </c>
      <c r="CQ11" s="360">
        <f t="shared" si="30"/>
        <v>0</v>
      </c>
      <c r="CR11" s="360">
        <f>$U11*AM11</f>
        <v>0</v>
      </c>
      <c r="CS11" s="360">
        <f t="shared" si="32"/>
        <v>0</v>
      </c>
      <c r="CT11" s="360">
        <f t="shared" si="48"/>
        <v>0</v>
      </c>
      <c r="CU11" s="360">
        <f t="shared" si="33"/>
        <v>0</v>
      </c>
      <c r="CV11" s="360">
        <f t="shared" si="34"/>
        <v>0</v>
      </c>
      <c r="CW11" s="360">
        <f t="shared" si="35"/>
        <v>0</v>
      </c>
      <c r="CX11" s="360">
        <f t="shared" si="36"/>
        <v>0</v>
      </c>
      <c r="CY11" s="360">
        <f t="shared" si="37"/>
        <v>0</v>
      </c>
      <c r="CZ11" s="360">
        <f t="shared" si="38"/>
        <v>0</v>
      </c>
      <c r="DA11" s="360">
        <f t="shared" si="39"/>
        <v>0</v>
      </c>
      <c r="DB11" s="360">
        <f t="shared" si="40"/>
        <v>0</v>
      </c>
      <c r="DC11" s="360">
        <f t="shared" si="41"/>
        <v>0</v>
      </c>
      <c r="DD11" s="360">
        <f t="shared" si="42"/>
        <v>0</v>
      </c>
      <c r="DE11" s="360">
        <f t="shared" si="43"/>
        <v>0</v>
      </c>
      <c r="DF11" s="360">
        <f t="shared" si="44"/>
        <v>0</v>
      </c>
      <c r="DG11" s="360">
        <f t="shared" si="45"/>
        <v>0</v>
      </c>
      <c r="DH11" s="360">
        <f t="shared" si="46"/>
        <v>0</v>
      </c>
      <c r="DI11" s="360">
        <f t="shared" si="47"/>
        <v>0</v>
      </c>
    </row>
    <row r="12" spans="1:113" ht="14" x14ac:dyDescent="0.3">
      <c r="A12" s="52" t="s">
        <v>1861</v>
      </c>
      <c r="B12" s="144"/>
      <c r="C12" s="13"/>
      <c r="D12" s="13"/>
      <c r="E12" s="13"/>
      <c r="F12" s="155"/>
      <c r="G12" s="154"/>
      <c r="H12" s="41"/>
      <c r="I12" s="27"/>
      <c r="J12" s="27"/>
      <c r="K12" s="27"/>
      <c r="L12" s="27"/>
      <c r="M12" s="157"/>
      <c r="N12" s="156"/>
      <c r="O12" s="28"/>
      <c r="P12" s="28"/>
      <c r="Q12" s="28"/>
      <c r="R12" s="28"/>
      <c r="S12" s="28"/>
      <c r="T12" s="159"/>
      <c r="U12" s="229"/>
      <c r="V12" s="229"/>
      <c r="W12" s="229"/>
      <c r="X12" s="229"/>
      <c r="Y12" s="229"/>
      <c r="Z12" s="230"/>
      <c r="AA12" s="158"/>
      <c r="AB12" s="52"/>
      <c r="AC12" s="14"/>
      <c r="AD12" s="14"/>
      <c r="AE12" s="213"/>
      <c r="AF12" s="52"/>
      <c r="AG12" s="155"/>
      <c r="AH12" s="133"/>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288"/>
      <c r="BM12" s="356"/>
      <c r="BN12" s="239">
        <f t="shared" si="1"/>
        <v>0</v>
      </c>
      <c r="BO12" s="239">
        <f t="shared" si="2"/>
        <v>0</v>
      </c>
      <c r="BP12" s="239">
        <f t="shared" si="3"/>
        <v>0</v>
      </c>
      <c r="BQ12" s="239">
        <f t="shared" si="4"/>
        <v>0</v>
      </c>
      <c r="BR12" s="239">
        <f t="shared" si="5"/>
        <v>0</v>
      </c>
      <c r="BS12" s="239">
        <f t="shared" si="6"/>
        <v>0</v>
      </c>
      <c r="BT12" s="239">
        <f t="shared" si="7"/>
        <v>0</v>
      </c>
      <c r="BU12" s="239">
        <f t="shared" si="8"/>
        <v>0</v>
      </c>
      <c r="BV12" s="239">
        <f t="shared" si="9"/>
        <v>0</v>
      </c>
      <c r="BW12" s="239">
        <f t="shared" si="10"/>
        <v>0</v>
      </c>
      <c r="BX12" s="239">
        <f t="shared" si="11"/>
        <v>0</v>
      </c>
      <c r="BY12" s="239">
        <f t="shared" si="12"/>
        <v>0</v>
      </c>
      <c r="BZ12" s="239">
        <f t="shared" si="13"/>
        <v>0</v>
      </c>
      <c r="CA12" s="239">
        <f t="shared" si="14"/>
        <v>0</v>
      </c>
      <c r="CB12" s="239">
        <f t="shared" si="15"/>
        <v>0</v>
      </c>
      <c r="CC12" s="239">
        <f t="shared" si="16"/>
        <v>0</v>
      </c>
      <c r="CD12" s="239">
        <f t="shared" si="17"/>
        <v>0</v>
      </c>
      <c r="CE12" s="239">
        <f t="shared" si="18"/>
        <v>0</v>
      </c>
      <c r="CF12" s="239">
        <f t="shared" si="19"/>
        <v>0</v>
      </c>
      <c r="CG12" s="239">
        <f t="shared" si="20"/>
        <v>0</v>
      </c>
      <c r="CH12" s="239">
        <f t="shared" si="21"/>
        <v>0</v>
      </c>
      <c r="CI12" s="239">
        <f t="shared" si="22"/>
        <v>0</v>
      </c>
      <c r="CJ12" s="239">
        <f t="shared" si="23"/>
        <v>0</v>
      </c>
      <c r="CK12" s="239">
        <f t="shared" si="24"/>
        <v>0</v>
      </c>
      <c r="CL12" s="239">
        <f t="shared" si="25"/>
        <v>0</v>
      </c>
      <c r="CM12" s="239">
        <f t="shared" si="26"/>
        <v>0</v>
      </c>
      <c r="CN12" s="239">
        <f t="shared" si="27"/>
        <v>0</v>
      </c>
      <c r="CO12" s="239">
        <f t="shared" si="28"/>
        <v>0</v>
      </c>
      <c r="CP12" s="239">
        <f t="shared" si="29"/>
        <v>0</v>
      </c>
      <c r="CQ12" s="239">
        <f t="shared" si="30"/>
        <v>0</v>
      </c>
      <c r="CR12" s="239">
        <f t="shared" si="31"/>
        <v>0</v>
      </c>
      <c r="CS12" s="239">
        <f t="shared" si="32"/>
        <v>0</v>
      </c>
      <c r="CT12" s="239">
        <f t="shared" si="48"/>
        <v>0</v>
      </c>
      <c r="CU12" s="239">
        <f t="shared" si="33"/>
        <v>0</v>
      </c>
      <c r="CV12" s="239">
        <f t="shared" si="34"/>
        <v>0</v>
      </c>
      <c r="CW12" s="239">
        <f t="shared" si="35"/>
        <v>0</v>
      </c>
      <c r="CX12" s="239">
        <f t="shared" si="36"/>
        <v>0</v>
      </c>
      <c r="CY12" s="239">
        <f t="shared" si="37"/>
        <v>0</v>
      </c>
      <c r="CZ12" s="239">
        <f t="shared" si="38"/>
        <v>0</v>
      </c>
      <c r="DA12" s="239">
        <f t="shared" si="39"/>
        <v>0</v>
      </c>
      <c r="DB12" s="239">
        <f t="shared" si="40"/>
        <v>0</v>
      </c>
      <c r="DC12" s="239">
        <f t="shared" si="41"/>
        <v>0</v>
      </c>
      <c r="DD12" s="239">
        <f t="shared" si="42"/>
        <v>0</v>
      </c>
      <c r="DE12" s="239">
        <f t="shared" si="43"/>
        <v>0</v>
      </c>
      <c r="DF12" s="239">
        <f t="shared" si="44"/>
        <v>0</v>
      </c>
      <c r="DG12" s="239">
        <f t="shared" si="45"/>
        <v>0</v>
      </c>
      <c r="DH12" s="239">
        <f t="shared" si="46"/>
        <v>0</v>
      </c>
      <c r="DI12" s="239">
        <f t="shared" si="47"/>
        <v>0</v>
      </c>
    </row>
    <row r="13" spans="1:113" ht="84" x14ac:dyDescent="0.3">
      <c r="A13" s="55" t="s">
        <v>1862</v>
      </c>
      <c r="B13" s="90"/>
      <c r="C13" s="6" t="s">
        <v>1863</v>
      </c>
      <c r="D13" s="56" t="s">
        <v>281</v>
      </c>
      <c r="E13" s="1" t="s">
        <v>1864</v>
      </c>
      <c r="F13" s="94" t="s">
        <v>1820</v>
      </c>
      <c r="G13" s="115" t="s">
        <v>1821</v>
      </c>
      <c r="H13" s="162"/>
      <c r="I13" s="57">
        <v>0</v>
      </c>
      <c r="J13" s="57" t="s">
        <v>232</v>
      </c>
      <c r="K13" s="112">
        <v>0</v>
      </c>
      <c r="L13" s="117"/>
      <c r="M13" s="389" t="s">
        <v>232</v>
      </c>
      <c r="N13" s="96" t="s">
        <v>421</v>
      </c>
      <c r="O13" s="98"/>
      <c r="P13" s="98"/>
      <c r="Q13" s="98"/>
      <c r="R13" s="98"/>
      <c r="S13" s="98"/>
      <c r="T13" s="160"/>
      <c r="U13" s="224"/>
      <c r="V13" s="224"/>
      <c r="W13" s="224"/>
      <c r="X13" s="224"/>
      <c r="Y13" s="224"/>
      <c r="Z13" s="228"/>
      <c r="AA13" s="100"/>
      <c r="AB13" s="1"/>
      <c r="AC13" s="1" t="s">
        <v>1865</v>
      </c>
      <c r="AD13" s="1" t="s">
        <v>232</v>
      </c>
      <c r="AE13" s="90"/>
      <c r="AF13" s="97" t="s">
        <v>242</v>
      </c>
      <c r="AG13" s="109" t="s">
        <v>1826</v>
      </c>
      <c r="AH13" s="132"/>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288" t="b">
        <f t="shared" si="0"/>
        <v>1</v>
      </c>
      <c r="BM13" s="356"/>
      <c r="BN13" s="360">
        <f t="shared" si="1"/>
        <v>0</v>
      </c>
      <c r="BO13" s="360">
        <f t="shared" si="2"/>
        <v>0</v>
      </c>
      <c r="BP13" s="360">
        <f t="shared" si="3"/>
        <v>0</v>
      </c>
      <c r="BQ13" s="360">
        <f t="shared" si="4"/>
        <v>0</v>
      </c>
      <c r="BR13" s="360">
        <f t="shared" si="5"/>
        <v>0</v>
      </c>
      <c r="BS13" s="360">
        <f t="shared" si="6"/>
        <v>0</v>
      </c>
      <c r="BT13" s="360">
        <f t="shared" si="7"/>
        <v>0</v>
      </c>
      <c r="BU13" s="360">
        <f t="shared" si="8"/>
        <v>0</v>
      </c>
      <c r="BV13" s="360">
        <f t="shared" si="9"/>
        <v>0</v>
      </c>
      <c r="BW13" s="360">
        <f t="shared" si="10"/>
        <v>0</v>
      </c>
      <c r="BX13" s="360">
        <f t="shared" si="11"/>
        <v>0</v>
      </c>
      <c r="BY13" s="360">
        <f t="shared" si="12"/>
        <v>0</v>
      </c>
      <c r="BZ13" s="360">
        <f t="shared" si="13"/>
        <v>0</v>
      </c>
      <c r="CA13" s="360">
        <f t="shared" si="14"/>
        <v>0</v>
      </c>
      <c r="CB13" s="360">
        <f t="shared" si="15"/>
        <v>0</v>
      </c>
      <c r="CC13" s="360">
        <f t="shared" si="16"/>
        <v>0</v>
      </c>
      <c r="CD13" s="360">
        <f t="shared" si="17"/>
        <v>0</v>
      </c>
      <c r="CE13" s="360">
        <f t="shared" si="18"/>
        <v>0</v>
      </c>
      <c r="CF13" s="360">
        <f t="shared" si="19"/>
        <v>0</v>
      </c>
      <c r="CG13" s="360">
        <f t="shared" si="20"/>
        <v>0</v>
      </c>
      <c r="CH13" s="360">
        <f t="shared" si="21"/>
        <v>0</v>
      </c>
      <c r="CI13" s="360">
        <f t="shared" si="22"/>
        <v>0</v>
      </c>
      <c r="CJ13" s="360">
        <f t="shared" si="23"/>
        <v>0</v>
      </c>
      <c r="CK13" s="360">
        <f t="shared" si="24"/>
        <v>0</v>
      </c>
      <c r="CL13" s="360">
        <f t="shared" si="25"/>
        <v>0</v>
      </c>
      <c r="CM13" s="360">
        <f t="shared" si="26"/>
        <v>0</v>
      </c>
      <c r="CN13" s="360">
        <f t="shared" si="27"/>
        <v>0</v>
      </c>
      <c r="CO13" s="360">
        <f t="shared" si="28"/>
        <v>0</v>
      </c>
      <c r="CP13" s="360">
        <f t="shared" si="29"/>
        <v>0</v>
      </c>
      <c r="CQ13" s="360">
        <f t="shared" si="30"/>
        <v>0</v>
      </c>
      <c r="CR13" s="360">
        <f t="shared" si="31"/>
        <v>0</v>
      </c>
      <c r="CS13" s="360">
        <f t="shared" si="32"/>
        <v>0</v>
      </c>
      <c r="CT13" s="360">
        <f t="shared" si="48"/>
        <v>0</v>
      </c>
      <c r="CU13" s="360">
        <f t="shared" si="33"/>
        <v>0</v>
      </c>
      <c r="CV13" s="360">
        <f t="shared" si="34"/>
        <v>0</v>
      </c>
      <c r="CW13" s="360">
        <f t="shared" si="35"/>
        <v>0</v>
      </c>
      <c r="CX13" s="360">
        <f t="shared" si="36"/>
        <v>0</v>
      </c>
      <c r="CY13" s="360">
        <f t="shared" si="37"/>
        <v>0</v>
      </c>
      <c r="CZ13" s="360">
        <f t="shared" si="38"/>
        <v>0</v>
      </c>
      <c r="DA13" s="360">
        <f t="shared" si="39"/>
        <v>0</v>
      </c>
      <c r="DB13" s="360">
        <f t="shared" si="40"/>
        <v>0</v>
      </c>
      <c r="DC13" s="360">
        <f t="shared" si="41"/>
        <v>0</v>
      </c>
      <c r="DD13" s="360">
        <f t="shared" si="42"/>
        <v>0</v>
      </c>
      <c r="DE13" s="360">
        <f t="shared" si="43"/>
        <v>0</v>
      </c>
      <c r="DF13" s="360">
        <f t="shared" si="44"/>
        <v>0</v>
      </c>
      <c r="DG13" s="360">
        <f t="shared" si="45"/>
        <v>0</v>
      </c>
      <c r="DH13" s="360">
        <f t="shared" si="46"/>
        <v>0</v>
      </c>
      <c r="DI13" s="360">
        <f t="shared" si="47"/>
        <v>0</v>
      </c>
    </row>
    <row r="14" spans="1:113" ht="70" x14ac:dyDescent="0.3">
      <c r="A14" s="55" t="s">
        <v>1866</v>
      </c>
      <c r="B14" s="90" t="s">
        <v>1867</v>
      </c>
      <c r="C14" s="1" t="s">
        <v>1868</v>
      </c>
      <c r="D14" s="265" t="s">
        <v>297</v>
      </c>
      <c r="E14" s="1" t="s">
        <v>1869</v>
      </c>
      <c r="F14" s="94" t="s">
        <v>1870</v>
      </c>
      <c r="G14" s="111" t="s">
        <v>1871</v>
      </c>
      <c r="H14" s="162"/>
      <c r="I14" s="57">
        <v>0</v>
      </c>
      <c r="J14" s="57" t="s">
        <v>232</v>
      </c>
      <c r="K14" s="112">
        <v>0</v>
      </c>
      <c r="L14" s="117"/>
      <c r="M14" s="389" t="s">
        <v>232</v>
      </c>
      <c r="N14" s="96" t="s">
        <v>1872</v>
      </c>
      <c r="O14" s="98"/>
      <c r="P14" s="98"/>
      <c r="Q14" s="98"/>
      <c r="R14" s="9"/>
      <c r="S14" s="9"/>
      <c r="T14" s="103"/>
      <c r="U14" s="224"/>
      <c r="V14" s="224"/>
      <c r="W14" s="224"/>
      <c r="X14" s="226"/>
      <c r="Y14" s="226"/>
      <c r="Z14" s="227"/>
      <c r="AA14" s="96" t="s">
        <v>1873</v>
      </c>
      <c r="AB14" s="1" t="s">
        <v>239</v>
      </c>
      <c r="AC14" s="1" t="s">
        <v>1874</v>
      </c>
      <c r="AD14" s="276" t="s">
        <v>382</v>
      </c>
      <c r="AE14" s="90"/>
      <c r="AF14" s="97" t="s">
        <v>242</v>
      </c>
      <c r="AG14" s="109" t="s">
        <v>252</v>
      </c>
      <c r="AH14" s="107" t="s">
        <v>371</v>
      </c>
      <c r="AI14" s="84" t="s">
        <v>371</v>
      </c>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288" t="b">
        <f t="shared" si="0"/>
        <v>1</v>
      </c>
      <c r="BM14" s="356"/>
      <c r="BN14" s="238"/>
      <c r="BO14" s="238"/>
      <c r="BP14" s="238"/>
      <c r="BQ14" s="238"/>
      <c r="BR14" s="238"/>
      <c r="BS14" s="238"/>
      <c r="BT14" s="238"/>
      <c r="BU14" s="238"/>
      <c r="BV14" s="238"/>
      <c r="BW14" s="238"/>
      <c r="BX14" s="238"/>
      <c r="BY14" s="238"/>
      <c r="BZ14" s="360">
        <f t="shared" si="13"/>
        <v>0</v>
      </c>
      <c r="CA14" s="360">
        <f t="shared" si="14"/>
        <v>0</v>
      </c>
      <c r="CB14" s="360">
        <f t="shared" si="15"/>
        <v>0</v>
      </c>
      <c r="CC14" s="360">
        <f t="shared" si="16"/>
        <v>0</v>
      </c>
      <c r="CD14" s="360">
        <f t="shared" si="17"/>
        <v>0</v>
      </c>
      <c r="CE14" s="360">
        <f t="shared" si="18"/>
        <v>0</v>
      </c>
      <c r="CF14" s="360">
        <f t="shared" si="19"/>
        <v>0</v>
      </c>
      <c r="CG14" s="360">
        <f t="shared" si="20"/>
        <v>0</v>
      </c>
      <c r="CH14" s="360">
        <f t="shared" si="21"/>
        <v>0</v>
      </c>
      <c r="CI14" s="360">
        <f t="shared" si="22"/>
        <v>0</v>
      </c>
      <c r="CJ14" s="360">
        <f t="shared" si="23"/>
        <v>0</v>
      </c>
      <c r="CK14" s="360">
        <f t="shared" si="24"/>
        <v>0</v>
      </c>
      <c r="CL14" s="360">
        <f t="shared" si="25"/>
        <v>0</v>
      </c>
      <c r="CM14" s="360">
        <f t="shared" si="26"/>
        <v>0</v>
      </c>
      <c r="CN14" s="360">
        <f t="shared" si="27"/>
        <v>0</v>
      </c>
      <c r="CO14" s="360">
        <f t="shared" si="28"/>
        <v>0</v>
      </c>
      <c r="CP14" s="360">
        <f t="shared" si="29"/>
        <v>0</v>
      </c>
      <c r="CQ14" s="360">
        <f t="shared" si="30"/>
        <v>0</v>
      </c>
      <c r="CR14" s="360">
        <f t="shared" si="31"/>
        <v>0</v>
      </c>
      <c r="CS14" s="360">
        <f t="shared" si="32"/>
        <v>0</v>
      </c>
      <c r="CT14" s="360">
        <f t="shared" si="48"/>
        <v>0</v>
      </c>
      <c r="CU14" s="360">
        <f t="shared" si="33"/>
        <v>0</v>
      </c>
      <c r="CV14" s="360">
        <f t="shared" si="34"/>
        <v>0</v>
      </c>
      <c r="CW14" s="360">
        <f t="shared" si="35"/>
        <v>0</v>
      </c>
      <c r="CX14" s="360">
        <f t="shared" si="36"/>
        <v>0</v>
      </c>
      <c r="CY14" s="360">
        <f t="shared" si="37"/>
        <v>0</v>
      </c>
      <c r="CZ14" s="360">
        <f t="shared" si="38"/>
        <v>0</v>
      </c>
      <c r="DA14" s="360">
        <f t="shared" si="39"/>
        <v>0</v>
      </c>
      <c r="DB14" s="360">
        <f t="shared" si="40"/>
        <v>0</v>
      </c>
      <c r="DC14" s="360">
        <f t="shared" si="41"/>
        <v>0</v>
      </c>
      <c r="DD14" s="360">
        <f t="shared" si="42"/>
        <v>0</v>
      </c>
      <c r="DE14" s="360">
        <f t="shared" si="43"/>
        <v>0</v>
      </c>
      <c r="DF14" s="360">
        <f t="shared" si="44"/>
        <v>0</v>
      </c>
      <c r="DG14" s="360">
        <f t="shared" si="45"/>
        <v>0</v>
      </c>
      <c r="DH14" s="360">
        <f t="shared" si="46"/>
        <v>0</v>
      </c>
      <c r="DI14" s="360">
        <f t="shared" si="47"/>
        <v>0</v>
      </c>
    </row>
    <row r="15" spans="1:113" ht="14" x14ac:dyDescent="0.3">
      <c r="A15" s="16" t="s">
        <v>1875</v>
      </c>
      <c r="B15" s="144"/>
      <c r="C15" s="13"/>
      <c r="D15" s="13"/>
      <c r="E15" s="13"/>
      <c r="F15" s="155"/>
      <c r="G15" s="154"/>
      <c r="H15" s="41"/>
      <c r="I15" s="34"/>
      <c r="J15" s="34"/>
      <c r="K15" s="27"/>
      <c r="L15" s="27"/>
      <c r="M15" s="157"/>
      <c r="N15" s="156"/>
      <c r="O15" s="28"/>
      <c r="P15" s="28"/>
      <c r="Q15" s="28"/>
      <c r="R15" s="28"/>
      <c r="S15" s="28"/>
      <c r="T15" s="159"/>
      <c r="U15" s="229"/>
      <c r="V15" s="229"/>
      <c r="W15" s="229"/>
      <c r="X15" s="229"/>
      <c r="Y15" s="229"/>
      <c r="Z15" s="230"/>
      <c r="AA15" s="158"/>
      <c r="AB15" s="52"/>
      <c r="AC15" s="14"/>
      <c r="AD15" s="14"/>
      <c r="AE15" s="213"/>
      <c r="AF15" s="52"/>
      <c r="AG15" s="155"/>
      <c r="AH15" s="133"/>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288"/>
      <c r="BM15" s="356"/>
      <c r="BN15" s="239"/>
      <c r="BO15" s="239"/>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row>
    <row r="16" spans="1:113" ht="96.65" customHeight="1" x14ac:dyDescent="0.3">
      <c r="A16" s="55" t="s">
        <v>1876</v>
      </c>
      <c r="B16" s="90"/>
      <c r="C16" s="6" t="s">
        <v>1877</v>
      </c>
      <c r="D16" s="56" t="s">
        <v>281</v>
      </c>
      <c r="E16" s="1" t="s">
        <v>1864</v>
      </c>
      <c r="F16" s="94" t="s">
        <v>1820</v>
      </c>
      <c r="G16" s="115" t="s">
        <v>1821</v>
      </c>
      <c r="H16" s="162"/>
      <c r="I16" s="57">
        <v>0</v>
      </c>
      <c r="J16" s="57" t="s">
        <v>232</v>
      </c>
      <c r="K16" s="112">
        <v>0</v>
      </c>
      <c r="L16" s="117"/>
      <c r="M16" s="389" t="s">
        <v>232</v>
      </c>
      <c r="N16" s="100" t="s">
        <v>421</v>
      </c>
      <c r="O16" s="98"/>
      <c r="P16" s="98"/>
      <c r="Q16" s="98"/>
      <c r="R16" s="98"/>
      <c r="S16" s="98"/>
      <c r="T16" s="160"/>
      <c r="U16" s="224"/>
      <c r="V16" s="224"/>
      <c r="W16" s="224"/>
      <c r="X16" s="224"/>
      <c r="Y16" s="224"/>
      <c r="Z16" s="228"/>
      <c r="AA16" s="96" t="s">
        <v>1878</v>
      </c>
      <c r="AB16" s="1"/>
      <c r="AC16" s="1" t="s">
        <v>1865</v>
      </c>
      <c r="AD16" s="1" t="s">
        <v>232</v>
      </c>
      <c r="AE16" s="90"/>
      <c r="AF16" s="97" t="s">
        <v>242</v>
      </c>
      <c r="AG16" s="109" t="s">
        <v>1826</v>
      </c>
      <c r="AH16" s="132"/>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288" t="b">
        <f t="shared" si="0"/>
        <v>1</v>
      </c>
      <c r="BM16" s="356"/>
      <c r="BN16" s="360">
        <f t="shared" si="1"/>
        <v>0</v>
      </c>
      <c r="BO16" s="360">
        <f t="shared" si="2"/>
        <v>0</v>
      </c>
      <c r="BP16" s="360">
        <f t="shared" si="3"/>
        <v>0</v>
      </c>
      <c r="BQ16" s="360">
        <f t="shared" si="4"/>
        <v>0</v>
      </c>
      <c r="BR16" s="360">
        <f t="shared" si="5"/>
        <v>0</v>
      </c>
      <c r="BS16" s="360">
        <f t="shared" si="6"/>
        <v>0</v>
      </c>
      <c r="BT16" s="360">
        <f t="shared" si="7"/>
        <v>0</v>
      </c>
      <c r="BU16" s="360">
        <f t="shared" si="8"/>
        <v>0</v>
      </c>
      <c r="BV16" s="360">
        <f t="shared" si="9"/>
        <v>0</v>
      </c>
      <c r="BW16" s="360">
        <f t="shared" si="10"/>
        <v>0</v>
      </c>
      <c r="BX16" s="360">
        <f t="shared" si="11"/>
        <v>0</v>
      </c>
      <c r="BY16" s="360">
        <f t="shared" si="12"/>
        <v>0</v>
      </c>
      <c r="BZ16" s="360">
        <f t="shared" si="13"/>
        <v>0</v>
      </c>
      <c r="CA16" s="360">
        <f t="shared" si="14"/>
        <v>0</v>
      </c>
      <c r="CB16" s="360">
        <f t="shared" si="15"/>
        <v>0</v>
      </c>
      <c r="CC16" s="360">
        <f t="shared" si="16"/>
        <v>0</v>
      </c>
      <c r="CD16" s="360">
        <f t="shared" si="17"/>
        <v>0</v>
      </c>
      <c r="CE16" s="360">
        <f t="shared" si="18"/>
        <v>0</v>
      </c>
      <c r="CF16" s="360">
        <f t="shared" si="19"/>
        <v>0</v>
      </c>
      <c r="CG16" s="360">
        <f t="shared" si="20"/>
        <v>0</v>
      </c>
      <c r="CH16" s="360">
        <f t="shared" si="21"/>
        <v>0</v>
      </c>
      <c r="CI16" s="360">
        <f t="shared" si="22"/>
        <v>0</v>
      </c>
      <c r="CJ16" s="360">
        <f t="shared" si="23"/>
        <v>0</v>
      </c>
      <c r="CK16" s="360">
        <f t="shared" si="24"/>
        <v>0</v>
      </c>
      <c r="CL16" s="360">
        <f t="shared" si="25"/>
        <v>0</v>
      </c>
      <c r="CM16" s="360">
        <f t="shared" si="26"/>
        <v>0</v>
      </c>
      <c r="CN16" s="360">
        <f t="shared" si="27"/>
        <v>0</v>
      </c>
      <c r="CO16" s="360">
        <f t="shared" si="28"/>
        <v>0</v>
      </c>
      <c r="CP16" s="360">
        <f t="shared" si="29"/>
        <v>0</v>
      </c>
      <c r="CQ16" s="360">
        <f t="shared" si="30"/>
        <v>0</v>
      </c>
      <c r="CR16" s="360">
        <f t="shared" si="31"/>
        <v>0</v>
      </c>
      <c r="CS16" s="360">
        <f t="shared" si="32"/>
        <v>0</v>
      </c>
      <c r="CT16" s="360">
        <f t="shared" si="48"/>
        <v>0</v>
      </c>
      <c r="CU16" s="360">
        <f t="shared" si="33"/>
        <v>0</v>
      </c>
      <c r="CV16" s="360">
        <f t="shared" si="34"/>
        <v>0</v>
      </c>
      <c r="CW16" s="360">
        <f t="shared" si="35"/>
        <v>0</v>
      </c>
      <c r="CX16" s="360">
        <f t="shared" si="36"/>
        <v>0</v>
      </c>
      <c r="CY16" s="360">
        <f t="shared" si="37"/>
        <v>0</v>
      </c>
      <c r="CZ16" s="360">
        <f t="shared" si="38"/>
        <v>0</v>
      </c>
      <c r="DA16" s="360">
        <f t="shared" si="39"/>
        <v>0</v>
      </c>
      <c r="DB16" s="360">
        <f t="shared" si="40"/>
        <v>0</v>
      </c>
      <c r="DC16" s="360">
        <f t="shared" si="41"/>
        <v>0</v>
      </c>
      <c r="DD16" s="360">
        <f t="shared" si="42"/>
        <v>0</v>
      </c>
      <c r="DE16" s="360">
        <f t="shared" si="43"/>
        <v>0</v>
      </c>
      <c r="DF16" s="360">
        <f t="shared" si="44"/>
        <v>0</v>
      </c>
      <c r="DG16" s="360">
        <f t="shared" si="45"/>
        <v>0</v>
      </c>
      <c r="DH16" s="360">
        <f t="shared" si="46"/>
        <v>0</v>
      </c>
      <c r="DI16" s="360">
        <f t="shared" si="47"/>
        <v>0</v>
      </c>
    </row>
    <row r="17" spans="1:113" ht="96.65" customHeight="1" x14ac:dyDescent="0.3">
      <c r="A17" s="55" t="s">
        <v>1879</v>
      </c>
      <c r="B17" s="90"/>
      <c r="C17" s="6" t="s">
        <v>1880</v>
      </c>
      <c r="D17" s="265" t="s">
        <v>297</v>
      </c>
      <c r="E17" s="1" t="s">
        <v>1864</v>
      </c>
      <c r="F17" s="94" t="s">
        <v>1864</v>
      </c>
      <c r="G17" s="115" t="s">
        <v>371</v>
      </c>
      <c r="H17" s="162"/>
      <c r="I17" s="57">
        <v>0</v>
      </c>
      <c r="J17" s="57" t="s">
        <v>371</v>
      </c>
      <c r="K17" s="112" t="s">
        <v>371</v>
      </c>
      <c r="L17" s="117"/>
      <c r="M17" s="389" t="s">
        <v>371</v>
      </c>
      <c r="N17" s="100" t="s">
        <v>421</v>
      </c>
      <c r="O17" s="98"/>
      <c r="P17" s="98"/>
      <c r="Q17" s="98"/>
      <c r="R17" s="98"/>
      <c r="S17" s="98"/>
      <c r="T17" s="160"/>
      <c r="U17" s="224"/>
      <c r="V17" s="224"/>
      <c r="W17" s="224"/>
      <c r="X17" s="224"/>
      <c r="Y17" s="224"/>
      <c r="Z17" s="228"/>
      <c r="AA17" s="96" t="s">
        <v>1881</v>
      </c>
      <c r="AB17" s="1"/>
      <c r="AC17" s="1" t="s">
        <v>1009</v>
      </c>
      <c r="AD17" s="275" t="s">
        <v>346</v>
      </c>
      <c r="AE17" s="90"/>
      <c r="AF17" s="97" t="s">
        <v>242</v>
      </c>
      <c r="AG17" s="109" t="s">
        <v>371</v>
      </c>
      <c r="AH17" s="132"/>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288" t="b">
        <f t="shared" si="0"/>
        <v>0</v>
      </c>
      <c r="BM17" s="356"/>
      <c r="BN17" s="360">
        <f t="shared" si="1"/>
        <v>0</v>
      </c>
      <c r="BO17" s="360">
        <f t="shared" si="2"/>
        <v>0</v>
      </c>
      <c r="BP17" s="360">
        <f t="shared" si="3"/>
        <v>0</v>
      </c>
      <c r="BQ17" s="360">
        <f t="shared" si="4"/>
        <v>0</v>
      </c>
      <c r="BR17" s="360">
        <f t="shared" si="5"/>
        <v>0</v>
      </c>
      <c r="BS17" s="360">
        <f t="shared" si="6"/>
        <v>0</v>
      </c>
      <c r="BT17" s="360">
        <f t="shared" si="7"/>
        <v>0</v>
      </c>
      <c r="BU17" s="360">
        <f t="shared" si="8"/>
        <v>0</v>
      </c>
      <c r="BV17" s="360">
        <f t="shared" si="9"/>
        <v>0</v>
      </c>
      <c r="BW17" s="360">
        <f t="shared" si="10"/>
        <v>0</v>
      </c>
      <c r="BX17" s="360">
        <f t="shared" si="11"/>
        <v>0</v>
      </c>
      <c r="BY17" s="360">
        <f t="shared" si="12"/>
        <v>0</v>
      </c>
      <c r="BZ17" s="360">
        <f t="shared" si="13"/>
        <v>0</v>
      </c>
      <c r="CA17" s="360">
        <f t="shared" si="14"/>
        <v>0</v>
      </c>
      <c r="CB17" s="360">
        <f t="shared" si="15"/>
        <v>0</v>
      </c>
      <c r="CC17" s="360">
        <f t="shared" si="16"/>
        <v>0</v>
      </c>
      <c r="CD17" s="360">
        <f t="shared" si="17"/>
        <v>0</v>
      </c>
      <c r="CE17" s="360">
        <f t="shared" si="18"/>
        <v>0</v>
      </c>
      <c r="CF17" s="360">
        <f t="shared" si="19"/>
        <v>0</v>
      </c>
      <c r="CG17" s="360">
        <f t="shared" si="20"/>
        <v>0</v>
      </c>
      <c r="CH17" s="360">
        <f t="shared" si="21"/>
        <v>0</v>
      </c>
      <c r="CI17" s="360">
        <f t="shared" si="22"/>
        <v>0</v>
      </c>
      <c r="CJ17" s="360">
        <f t="shared" si="23"/>
        <v>0</v>
      </c>
      <c r="CK17" s="360">
        <f t="shared" si="24"/>
        <v>0</v>
      </c>
      <c r="CL17" s="360">
        <f t="shared" si="25"/>
        <v>0</v>
      </c>
      <c r="CM17" s="360">
        <f t="shared" si="26"/>
        <v>0</v>
      </c>
      <c r="CN17" s="360">
        <f t="shared" si="27"/>
        <v>0</v>
      </c>
      <c r="CO17" s="360">
        <f t="shared" si="28"/>
        <v>0</v>
      </c>
      <c r="CP17" s="360">
        <f t="shared" si="29"/>
        <v>0</v>
      </c>
      <c r="CQ17" s="360">
        <f t="shared" si="30"/>
        <v>0</v>
      </c>
      <c r="CR17" s="360">
        <f t="shared" si="31"/>
        <v>0</v>
      </c>
      <c r="CS17" s="360">
        <f t="shared" si="32"/>
        <v>0</v>
      </c>
      <c r="CT17" s="360">
        <f t="shared" si="48"/>
        <v>0</v>
      </c>
      <c r="CU17" s="360">
        <f t="shared" si="33"/>
        <v>0</v>
      </c>
      <c r="CV17" s="360">
        <f t="shared" si="34"/>
        <v>0</v>
      </c>
      <c r="CW17" s="360">
        <f t="shared" si="35"/>
        <v>0</v>
      </c>
      <c r="CX17" s="360">
        <f t="shared" si="36"/>
        <v>0</v>
      </c>
      <c r="CY17" s="360">
        <f t="shared" si="37"/>
        <v>0</v>
      </c>
      <c r="CZ17" s="360">
        <f t="shared" si="38"/>
        <v>0</v>
      </c>
      <c r="DA17" s="360">
        <f t="shared" si="39"/>
        <v>0</v>
      </c>
      <c r="DB17" s="360">
        <f t="shared" si="40"/>
        <v>0</v>
      </c>
      <c r="DC17" s="360">
        <f t="shared" si="41"/>
        <v>0</v>
      </c>
      <c r="DD17" s="360">
        <f t="shared" si="42"/>
        <v>0</v>
      </c>
      <c r="DE17" s="360">
        <f t="shared" si="43"/>
        <v>0</v>
      </c>
      <c r="DF17" s="360">
        <f t="shared" si="44"/>
        <v>0</v>
      </c>
      <c r="DG17" s="360">
        <f t="shared" si="45"/>
        <v>0</v>
      </c>
      <c r="DH17" s="360">
        <f t="shared" si="46"/>
        <v>0</v>
      </c>
      <c r="DI17" s="360">
        <f t="shared" si="47"/>
        <v>0</v>
      </c>
    </row>
    <row r="18" spans="1:113" ht="65.25" customHeight="1" x14ac:dyDescent="0.3">
      <c r="A18" s="55" t="s">
        <v>1882</v>
      </c>
      <c r="B18" s="90"/>
      <c r="C18" s="1" t="s">
        <v>1883</v>
      </c>
      <c r="D18" s="265" t="s">
        <v>297</v>
      </c>
      <c r="E18" s="1" t="s">
        <v>1884</v>
      </c>
      <c r="F18" s="94" t="s">
        <v>1884</v>
      </c>
      <c r="G18" s="267" t="s">
        <v>1885</v>
      </c>
      <c r="H18" s="162"/>
      <c r="I18" s="57">
        <v>0</v>
      </c>
      <c r="J18" s="420" t="s">
        <v>232</v>
      </c>
      <c r="K18" s="112">
        <v>0</v>
      </c>
      <c r="L18" s="153"/>
      <c r="M18" s="389" t="s">
        <v>232</v>
      </c>
      <c r="N18" s="100" t="s">
        <v>421</v>
      </c>
      <c r="O18" s="98"/>
      <c r="P18" s="98"/>
      <c r="Q18" s="98"/>
      <c r="R18" s="98"/>
      <c r="S18" s="98"/>
      <c r="T18" s="160"/>
      <c r="U18" s="224"/>
      <c r="V18" s="224"/>
      <c r="W18" s="224"/>
      <c r="X18" s="224"/>
      <c r="Y18" s="224"/>
      <c r="Z18" s="228"/>
      <c r="AA18" s="96"/>
      <c r="AB18" s="1"/>
      <c r="AC18" s="1" t="s">
        <v>1865</v>
      </c>
      <c r="AD18" s="1" t="s">
        <v>232</v>
      </c>
      <c r="AE18" s="90"/>
      <c r="AF18" s="97" t="s">
        <v>242</v>
      </c>
      <c r="AG18" s="109" t="s">
        <v>1826</v>
      </c>
      <c r="AH18" s="421"/>
      <c r="AI18" s="422"/>
      <c r="AJ18" s="422"/>
      <c r="AK18" s="422"/>
      <c r="AL18" s="422"/>
      <c r="AM18" s="8"/>
      <c r="AN18" s="8"/>
      <c r="AO18" s="8"/>
      <c r="AP18" s="8"/>
      <c r="AQ18" s="8"/>
      <c r="AR18" s="8"/>
      <c r="AS18" s="8"/>
      <c r="AT18" s="8"/>
      <c r="AU18" s="8"/>
      <c r="AV18" s="8"/>
      <c r="AW18" s="8"/>
      <c r="AX18" s="8"/>
      <c r="AY18" s="8"/>
      <c r="AZ18" s="8"/>
      <c r="BA18" s="8"/>
      <c r="BB18" s="8"/>
      <c r="BC18" s="8"/>
      <c r="BD18" s="8"/>
      <c r="BE18" s="8"/>
      <c r="BF18" s="8"/>
      <c r="BG18" s="8"/>
      <c r="BH18" s="8"/>
      <c r="BI18" s="8"/>
      <c r="BJ18" s="8"/>
      <c r="BK18" s="288" t="b">
        <f t="shared" si="0"/>
        <v>1</v>
      </c>
      <c r="BM18" s="356"/>
      <c r="BN18" s="360">
        <f t="shared" si="1"/>
        <v>0</v>
      </c>
      <c r="BO18" s="360">
        <f t="shared" si="2"/>
        <v>0</v>
      </c>
      <c r="BP18" s="360">
        <f t="shared" si="3"/>
        <v>0</v>
      </c>
      <c r="BQ18" s="360">
        <f t="shared" si="4"/>
        <v>0</v>
      </c>
      <c r="BR18" s="360">
        <f t="shared" si="5"/>
        <v>0</v>
      </c>
      <c r="BS18" s="360">
        <f t="shared" si="6"/>
        <v>0</v>
      </c>
      <c r="BT18" s="360">
        <f t="shared" si="7"/>
        <v>0</v>
      </c>
      <c r="BU18" s="360">
        <f t="shared" si="8"/>
        <v>0</v>
      </c>
      <c r="BV18" s="360">
        <f t="shared" si="9"/>
        <v>0</v>
      </c>
      <c r="BW18" s="360">
        <f t="shared" si="10"/>
        <v>0</v>
      </c>
      <c r="BX18" s="360">
        <f t="shared" si="11"/>
        <v>0</v>
      </c>
      <c r="BY18" s="360">
        <f t="shared" si="12"/>
        <v>0</v>
      </c>
      <c r="BZ18" s="360">
        <f t="shared" si="13"/>
        <v>0</v>
      </c>
      <c r="CA18" s="360">
        <f t="shared" si="14"/>
        <v>0</v>
      </c>
      <c r="CB18" s="360">
        <f t="shared" si="15"/>
        <v>0</v>
      </c>
      <c r="CC18" s="360">
        <f t="shared" si="16"/>
        <v>0</v>
      </c>
      <c r="CD18" s="360">
        <f t="shared" si="17"/>
        <v>0</v>
      </c>
      <c r="CE18" s="360">
        <f t="shared" si="18"/>
        <v>0</v>
      </c>
      <c r="CF18" s="360">
        <f t="shared" si="19"/>
        <v>0</v>
      </c>
      <c r="CG18" s="360">
        <f t="shared" si="20"/>
        <v>0</v>
      </c>
      <c r="CH18" s="360">
        <f t="shared" si="21"/>
        <v>0</v>
      </c>
      <c r="CI18" s="360">
        <f t="shared" si="22"/>
        <v>0</v>
      </c>
      <c r="CJ18" s="360">
        <f t="shared" si="23"/>
        <v>0</v>
      </c>
      <c r="CK18" s="360">
        <f t="shared" si="24"/>
        <v>0</v>
      </c>
      <c r="CL18" s="360">
        <f t="shared" si="25"/>
        <v>0</v>
      </c>
      <c r="CM18" s="360">
        <f t="shared" si="26"/>
        <v>0</v>
      </c>
      <c r="CN18" s="360">
        <f t="shared" si="27"/>
        <v>0</v>
      </c>
      <c r="CO18" s="360">
        <f t="shared" si="28"/>
        <v>0</v>
      </c>
      <c r="CP18" s="360">
        <f t="shared" si="29"/>
        <v>0</v>
      </c>
      <c r="CQ18" s="360">
        <f t="shared" si="30"/>
        <v>0</v>
      </c>
      <c r="CR18" s="360">
        <f t="shared" si="31"/>
        <v>0</v>
      </c>
      <c r="CS18" s="360">
        <f t="shared" si="32"/>
        <v>0</v>
      </c>
      <c r="CT18" s="360">
        <f t="shared" si="48"/>
        <v>0</v>
      </c>
      <c r="CU18" s="360">
        <f t="shared" si="33"/>
        <v>0</v>
      </c>
      <c r="CV18" s="360">
        <f t="shared" si="34"/>
        <v>0</v>
      </c>
      <c r="CW18" s="360">
        <f t="shared" si="35"/>
        <v>0</v>
      </c>
      <c r="CX18" s="360">
        <f t="shared" si="36"/>
        <v>0</v>
      </c>
      <c r="CY18" s="360">
        <f t="shared" si="37"/>
        <v>0</v>
      </c>
      <c r="CZ18" s="360">
        <f t="shared" si="38"/>
        <v>0</v>
      </c>
      <c r="DA18" s="360">
        <f t="shared" si="39"/>
        <v>0</v>
      </c>
      <c r="DB18" s="360">
        <f t="shared" si="40"/>
        <v>0</v>
      </c>
      <c r="DC18" s="360">
        <f t="shared" si="41"/>
        <v>0</v>
      </c>
      <c r="DD18" s="360">
        <f t="shared" si="42"/>
        <v>0</v>
      </c>
      <c r="DE18" s="360">
        <f t="shared" si="43"/>
        <v>0</v>
      </c>
      <c r="DF18" s="360">
        <f t="shared" si="44"/>
        <v>0</v>
      </c>
      <c r="DG18" s="360">
        <f t="shared" si="45"/>
        <v>0</v>
      </c>
      <c r="DH18" s="360">
        <f t="shared" si="46"/>
        <v>0</v>
      </c>
      <c r="DI18" s="360">
        <f t="shared" si="47"/>
        <v>0</v>
      </c>
    </row>
    <row r="19" spans="1:113" ht="14" x14ac:dyDescent="0.35">
      <c r="A19" s="52" t="s">
        <v>1886</v>
      </c>
      <c r="B19" s="144"/>
      <c r="C19" s="13"/>
      <c r="D19" s="13"/>
      <c r="E19" s="13"/>
      <c r="F19" s="155"/>
      <c r="G19" s="154"/>
      <c r="H19" s="41"/>
      <c r="I19" s="34"/>
      <c r="J19" s="34"/>
      <c r="K19" s="27"/>
      <c r="L19" s="27"/>
      <c r="M19" s="157"/>
      <c r="N19" s="156"/>
      <c r="O19" s="28"/>
      <c r="P19" s="28"/>
      <c r="Q19" s="28"/>
      <c r="R19" s="28"/>
      <c r="S19" s="28"/>
      <c r="T19" s="159"/>
      <c r="U19" s="229"/>
      <c r="V19" s="229"/>
      <c r="W19" s="229"/>
      <c r="X19" s="229"/>
      <c r="Y19" s="229"/>
      <c r="Z19" s="230"/>
      <c r="AA19" s="158"/>
      <c r="AB19" s="52"/>
      <c r="AC19" s="14"/>
      <c r="AD19" s="14"/>
      <c r="AE19" s="213"/>
      <c r="AF19" s="52"/>
      <c r="AG19" s="155"/>
      <c r="AH19" s="133"/>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288"/>
      <c r="BM19" s="348"/>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row>
    <row r="20" spans="1:113" ht="80.25" customHeight="1" x14ac:dyDescent="0.35">
      <c r="A20" s="55" t="s">
        <v>1887</v>
      </c>
      <c r="B20" s="90"/>
      <c r="C20" s="1" t="s">
        <v>1888</v>
      </c>
      <c r="D20" s="265" t="s">
        <v>297</v>
      </c>
      <c r="E20" s="1" t="s">
        <v>349</v>
      </c>
      <c r="F20" s="109" t="s">
        <v>1889</v>
      </c>
      <c r="G20" s="267">
        <v>6700000</v>
      </c>
      <c r="H20" s="162" t="s">
        <v>351</v>
      </c>
      <c r="I20" s="57">
        <v>0</v>
      </c>
      <c r="J20" s="57">
        <f>G20-I20</f>
        <v>6700000</v>
      </c>
      <c r="K20" s="112">
        <v>1662067</v>
      </c>
      <c r="L20" s="153" t="s">
        <v>1890</v>
      </c>
      <c r="M20" s="423">
        <f>J20-K20</f>
        <v>5037933</v>
      </c>
      <c r="N20" s="100" t="s">
        <v>316</v>
      </c>
      <c r="O20" s="9"/>
      <c r="P20" s="98"/>
      <c r="Q20" s="9"/>
      <c r="R20" s="9"/>
      <c r="S20" s="9"/>
      <c r="T20" s="103"/>
      <c r="U20" s="226"/>
      <c r="V20" s="242">
        <v>1</v>
      </c>
      <c r="W20" s="226"/>
      <c r="X20" s="226"/>
      <c r="Y20" s="226"/>
      <c r="Z20" s="227"/>
      <c r="AA20" s="96" t="s">
        <v>1891</v>
      </c>
      <c r="AB20" s="1"/>
      <c r="AC20" s="1" t="s">
        <v>1892</v>
      </c>
      <c r="AD20" s="276" t="s">
        <v>382</v>
      </c>
      <c r="AE20" s="90"/>
      <c r="AF20" s="97" t="s">
        <v>242</v>
      </c>
      <c r="AG20" s="109" t="s">
        <v>1893</v>
      </c>
      <c r="AH20" s="132"/>
      <c r="AI20" s="8"/>
      <c r="AJ20" s="8"/>
      <c r="AK20" s="8"/>
      <c r="AL20" s="8"/>
      <c r="AM20" s="83">
        <f>$K$20*'[1]Apportionment %'!H9</f>
        <v>1412756.95</v>
      </c>
      <c r="AN20" s="83">
        <f>$K$20*'[1]Apportionment %'!I9</f>
        <v>249310.05</v>
      </c>
      <c r="AO20" s="8"/>
      <c r="AP20" s="8"/>
      <c r="AQ20" s="8"/>
      <c r="AR20" s="8"/>
      <c r="AS20" s="8"/>
      <c r="AT20" s="8"/>
      <c r="AU20" s="8"/>
      <c r="AV20" s="8"/>
      <c r="AW20" s="8"/>
      <c r="AX20" s="8"/>
      <c r="AY20" s="8"/>
      <c r="AZ20" s="8"/>
      <c r="BA20" s="8"/>
      <c r="BB20" s="8"/>
      <c r="BC20" s="8"/>
      <c r="BD20" s="8"/>
      <c r="BE20" s="8"/>
      <c r="BF20" s="8"/>
      <c r="BG20" s="8"/>
      <c r="BH20" s="8"/>
      <c r="BI20" s="8"/>
      <c r="BJ20" s="8"/>
      <c r="BK20" s="288" t="b">
        <f t="shared" si="0"/>
        <v>1</v>
      </c>
      <c r="BM20" s="348"/>
      <c r="BN20" s="360">
        <f t="shared" si="1"/>
        <v>0</v>
      </c>
      <c r="BO20" s="360">
        <f t="shared" si="2"/>
        <v>0</v>
      </c>
      <c r="BP20" s="360">
        <f t="shared" si="3"/>
        <v>0</v>
      </c>
      <c r="BQ20" s="360">
        <f t="shared" si="4"/>
        <v>0</v>
      </c>
      <c r="BR20" s="360">
        <f t="shared" si="5"/>
        <v>0</v>
      </c>
      <c r="BS20" s="360">
        <f t="shared" si="6"/>
        <v>0</v>
      </c>
      <c r="BT20" s="360">
        <f t="shared" si="7"/>
        <v>0</v>
      </c>
      <c r="BU20" s="360">
        <f t="shared" si="8"/>
        <v>0</v>
      </c>
      <c r="BV20" s="360">
        <f t="shared" si="9"/>
        <v>0</v>
      </c>
      <c r="BW20" s="360">
        <f t="shared" si="10"/>
        <v>0</v>
      </c>
      <c r="BX20" s="360">
        <f t="shared" si="11"/>
        <v>0</v>
      </c>
      <c r="BY20" s="360">
        <f t="shared" si="12"/>
        <v>0</v>
      </c>
      <c r="BZ20" s="360">
        <f t="shared" si="13"/>
        <v>0</v>
      </c>
      <c r="CA20" s="360">
        <f t="shared" si="14"/>
        <v>0</v>
      </c>
      <c r="CB20" s="360">
        <f t="shared" si="15"/>
        <v>0</v>
      </c>
      <c r="CC20" s="360">
        <f t="shared" si="16"/>
        <v>0</v>
      </c>
      <c r="CD20" s="360">
        <f t="shared" si="17"/>
        <v>0</v>
      </c>
      <c r="CE20" s="360">
        <f t="shared" si="18"/>
        <v>0</v>
      </c>
      <c r="CF20" s="360">
        <f t="shared" si="19"/>
        <v>0</v>
      </c>
      <c r="CG20" s="360">
        <f t="shared" si="20"/>
        <v>0</v>
      </c>
      <c r="CH20" s="360">
        <f t="shared" si="21"/>
        <v>0</v>
      </c>
      <c r="CI20" s="360">
        <f t="shared" si="22"/>
        <v>0</v>
      </c>
      <c r="CJ20" s="360">
        <f t="shared" si="23"/>
        <v>0</v>
      </c>
      <c r="CK20" s="360">
        <f t="shared" si="24"/>
        <v>0</v>
      </c>
      <c r="CL20" s="360">
        <f t="shared" si="25"/>
        <v>0</v>
      </c>
      <c r="CM20" s="360">
        <f t="shared" si="26"/>
        <v>0</v>
      </c>
      <c r="CN20" s="360">
        <f t="shared" si="27"/>
        <v>0</v>
      </c>
      <c r="CO20" s="360">
        <f t="shared" si="28"/>
        <v>0</v>
      </c>
      <c r="CP20" s="360">
        <f t="shared" si="29"/>
        <v>0</v>
      </c>
      <c r="CQ20" s="360">
        <f t="shared" si="30"/>
        <v>0</v>
      </c>
      <c r="CR20" s="360">
        <f t="shared" si="31"/>
        <v>0</v>
      </c>
      <c r="CS20" s="360">
        <f t="shared" si="32"/>
        <v>1412756.95</v>
      </c>
      <c r="CT20" s="360">
        <f t="shared" si="48"/>
        <v>0</v>
      </c>
      <c r="CU20" s="360">
        <f t="shared" si="33"/>
        <v>0</v>
      </c>
      <c r="CV20" s="360">
        <f t="shared" si="34"/>
        <v>0</v>
      </c>
      <c r="CW20" s="360">
        <f t="shared" si="35"/>
        <v>0</v>
      </c>
      <c r="CX20" s="360">
        <f t="shared" si="36"/>
        <v>0</v>
      </c>
      <c r="CY20" s="360">
        <f t="shared" si="37"/>
        <v>249310.05</v>
      </c>
      <c r="CZ20" s="360">
        <f t="shared" si="38"/>
        <v>0</v>
      </c>
      <c r="DA20" s="360">
        <f t="shared" si="39"/>
        <v>0</v>
      </c>
      <c r="DB20" s="360">
        <f t="shared" si="40"/>
        <v>0</v>
      </c>
      <c r="DC20" s="360">
        <f t="shared" si="41"/>
        <v>0</v>
      </c>
      <c r="DD20" s="360">
        <f t="shared" si="42"/>
        <v>0</v>
      </c>
      <c r="DE20" s="360">
        <f t="shared" si="43"/>
        <v>0</v>
      </c>
      <c r="DF20" s="360">
        <f t="shared" si="44"/>
        <v>0</v>
      </c>
      <c r="DG20" s="360">
        <f t="shared" si="45"/>
        <v>0</v>
      </c>
      <c r="DH20" s="360">
        <f t="shared" si="46"/>
        <v>0</v>
      </c>
      <c r="DI20" s="360">
        <f t="shared" si="47"/>
        <v>0</v>
      </c>
    </row>
    <row r="21" spans="1:113" ht="154" x14ac:dyDescent="0.35">
      <c r="A21" s="55" t="s">
        <v>1894</v>
      </c>
      <c r="B21" s="90"/>
      <c r="C21" s="1" t="s">
        <v>1895</v>
      </c>
      <c r="D21" s="265" t="s">
        <v>297</v>
      </c>
      <c r="E21" s="1" t="s">
        <v>261</v>
      </c>
      <c r="F21" s="109" t="s">
        <v>1889</v>
      </c>
      <c r="G21" s="267">
        <v>200000</v>
      </c>
      <c r="H21" s="162" t="s">
        <v>235</v>
      </c>
      <c r="I21" s="57">
        <v>0</v>
      </c>
      <c r="J21" s="57">
        <f>G21-I21</f>
        <v>200000</v>
      </c>
      <c r="K21" s="112">
        <f>J21</f>
        <v>200000</v>
      </c>
      <c r="L21" s="153" t="s">
        <v>235</v>
      </c>
      <c r="M21" s="389">
        <v>0</v>
      </c>
      <c r="N21" s="100" t="s">
        <v>316</v>
      </c>
      <c r="O21" s="9"/>
      <c r="P21" s="98"/>
      <c r="Q21" s="9"/>
      <c r="R21" s="9"/>
      <c r="S21" s="9"/>
      <c r="T21" s="103"/>
      <c r="U21" s="223"/>
      <c r="V21" s="242">
        <v>1</v>
      </c>
      <c r="W21" s="223"/>
      <c r="X21" s="223"/>
      <c r="Y21" s="223"/>
      <c r="Z21" s="225"/>
      <c r="AA21" s="96" t="s">
        <v>1896</v>
      </c>
      <c r="AB21" s="1"/>
      <c r="AC21" s="1" t="s">
        <v>1377</v>
      </c>
      <c r="AD21" s="276" t="s">
        <v>382</v>
      </c>
      <c r="AE21" s="90"/>
      <c r="AF21" s="405" t="s">
        <v>461</v>
      </c>
      <c r="AG21" s="109" t="s">
        <v>1897</v>
      </c>
      <c r="AH21" s="268">
        <f>$K$21*'[1]Apportionment %'!C10</f>
        <v>20868.113522537562</v>
      </c>
      <c r="AI21" s="268">
        <f>$K$21*'[1]Apportionment %'!D10</f>
        <v>72342.793544796878</v>
      </c>
      <c r="AJ21" s="268">
        <f>$K$21*'[1]Apportionment %'!E10</f>
        <v>29215.358931552586</v>
      </c>
      <c r="AK21" s="268">
        <f>$K$21*'[1]Apportionment %'!F10</f>
        <v>22454.090150250417</v>
      </c>
      <c r="AL21" s="268">
        <f>$K$21*'[1]Apportionment %'!G10</f>
        <v>37033.945464663324</v>
      </c>
      <c r="AM21" s="360"/>
      <c r="AN21" s="360"/>
      <c r="AO21" s="268">
        <f>$K$21*'[1]Apportionment %'!J10</f>
        <v>18085.698386199219</v>
      </c>
      <c r="AP21" s="8"/>
      <c r="AQ21" s="8"/>
      <c r="AR21" s="8"/>
      <c r="AS21" s="8"/>
      <c r="AT21" s="8"/>
      <c r="AU21" s="8"/>
      <c r="AV21" s="8"/>
      <c r="AW21" s="8"/>
      <c r="AX21" s="8"/>
      <c r="AY21" s="8"/>
      <c r="AZ21" s="8"/>
      <c r="BA21" s="8"/>
      <c r="BB21" s="8"/>
      <c r="BC21" s="8"/>
      <c r="BD21" s="8"/>
      <c r="BE21" s="8"/>
      <c r="BF21" s="8"/>
      <c r="BG21" s="8"/>
      <c r="BH21" s="8"/>
      <c r="BI21" s="8"/>
      <c r="BJ21" s="8"/>
      <c r="BK21" s="288" t="b">
        <f>K21=SUM(AH21:BJ21)</f>
        <v>1</v>
      </c>
      <c r="BN21" s="360">
        <f t="shared" si="1"/>
        <v>0</v>
      </c>
      <c r="BO21" s="360">
        <f t="shared" si="2"/>
        <v>20868.113522537562</v>
      </c>
      <c r="BP21" s="360">
        <f t="shared" si="3"/>
        <v>0</v>
      </c>
      <c r="BQ21" s="360">
        <f t="shared" si="4"/>
        <v>0</v>
      </c>
      <c r="BR21" s="360">
        <f t="shared" si="5"/>
        <v>0</v>
      </c>
      <c r="BS21" s="360">
        <f t="shared" si="6"/>
        <v>0</v>
      </c>
      <c r="BT21" s="360">
        <f t="shared" si="7"/>
        <v>0</v>
      </c>
      <c r="BU21" s="360">
        <f t="shared" si="8"/>
        <v>72342.793544796878</v>
      </c>
      <c r="BV21" s="360">
        <f t="shared" si="9"/>
        <v>0</v>
      </c>
      <c r="BW21" s="360">
        <f t="shared" si="10"/>
        <v>0</v>
      </c>
      <c r="BX21" s="360">
        <f t="shared" si="11"/>
        <v>0</v>
      </c>
      <c r="BY21" s="360">
        <f t="shared" si="12"/>
        <v>0</v>
      </c>
      <c r="BZ21" s="360">
        <f t="shared" si="13"/>
        <v>0</v>
      </c>
      <c r="CA21" s="360">
        <f t="shared" si="14"/>
        <v>29215.358931552586</v>
      </c>
      <c r="CB21" s="360">
        <f t="shared" si="15"/>
        <v>0</v>
      </c>
      <c r="CC21" s="360">
        <f t="shared" si="16"/>
        <v>0</v>
      </c>
      <c r="CD21" s="360">
        <f t="shared" si="17"/>
        <v>0</v>
      </c>
      <c r="CE21" s="360">
        <f t="shared" si="18"/>
        <v>0</v>
      </c>
      <c r="CF21" s="360">
        <f t="shared" si="19"/>
        <v>0</v>
      </c>
      <c r="CG21" s="360">
        <f t="shared" si="20"/>
        <v>22454.090150250417</v>
      </c>
      <c r="CH21" s="360">
        <f t="shared" si="21"/>
        <v>0</v>
      </c>
      <c r="CI21" s="360">
        <f t="shared" si="22"/>
        <v>0</v>
      </c>
      <c r="CJ21" s="360">
        <f t="shared" si="23"/>
        <v>0</v>
      </c>
      <c r="CK21" s="360">
        <f t="shared" si="24"/>
        <v>0</v>
      </c>
      <c r="CL21" s="360">
        <f t="shared" si="25"/>
        <v>0</v>
      </c>
      <c r="CM21" s="360">
        <f t="shared" si="26"/>
        <v>37033.945464663324</v>
      </c>
      <c r="CN21" s="360">
        <f t="shared" si="27"/>
        <v>0</v>
      </c>
      <c r="CO21" s="360">
        <f t="shared" si="28"/>
        <v>0</v>
      </c>
      <c r="CP21" s="360">
        <f t="shared" si="29"/>
        <v>0</v>
      </c>
      <c r="CQ21" s="360">
        <f t="shared" si="30"/>
        <v>0</v>
      </c>
      <c r="CR21" s="360">
        <f t="shared" si="31"/>
        <v>0</v>
      </c>
      <c r="CS21" s="360">
        <f t="shared" si="32"/>
        <v>0</v>
      </c>
      <c r="CT21" s="360">
        <f t="shared" si="48"/>
        <v>0</v>
      </c>
      <c r="CU21" s="360">
        <f t="shared" si="33"/>
        <v>0</v>
      </c>
      <c r="CV21" s="360">
        <f t="shared" si="34"/>
        <v>0</v>
      </c>
      <c r="CW21" s="360">
        <f t="shared" si="35"/>
        <v>0</v>
      </c>
      <c r="CX21" s="360">
        <f t="shared" si="36"/>
        <v>0</v>
      </c>
      <c r="CY21" s="360">
        <f t="shared" si="37"/>
        <v>0</v>
      </c>
      <c r="CZ21" s="360">
        <f t="shared" si="38"/>
        <v>0</v>
      </c>
      <c r="DA21" s="360">
        <f t="shared" si="39"/>
        <v>0</v>
      </c>
      <c r="DB21" s="360">
        <f t="shared" si="40"/>
        <v>0</v>
      </c>
      <c r="DC21" s="360">
        <f t="shared" si="41"/>
        <v>0</v>
      </c>
      <c r="DD21" s="360">
        <f t="shared" si="42"/>
        <v>0</v>
      </c>
      <c r="DE21" s="360">
        <f t="shared" si="43"/>
        <v>18085.698386199219</v>
      </c>
      <c r="DF21" s="360">
        <f t="shared" si="44"/>
        <v>0</v>
      </c>
      <c r="DG21" s="360">
        <f t="shared" si="45"/>
        <v>0</v>
      </c>
      <c r="DH21" s="360">
        <f t="shared" si="46"/>
        <v>0</v>
      </c>
      <c r="DI21" s="360">
        <f t="shared" si="47"/>
        <v>0</v>
      </c>
    </row>
    <row r="22" spans="1:113" s="4" customFormat="1" ht="14" x14ac:dyDescent="0.3">
      <c r="G22" s="353">
        <f>SUM(G2:G21)</f>
        <v>44700000</v>
      </c>
      <c r="H22" s="5"/>
      <c r="I22" s="353">
        <f>SUM(I19:I21)</f>
        <v>0</v>
      </c>
      <c r="J22" s="353">
        <f>SUM(J2:J21)</f>
        <v>15700000</v>
      </c>
      <c r="K22" s="353">
        <f>SUM(K2:K21)</f>
        <v>1862067</v>
      </c>
      <c r="L22" s="5"/>
      <c r="M22" s="353">
        <f>SUM(M2:M21)</f>
        <v>5037933</v>
      </c>
      <c r="AE22" s="58"/>
      <c r="AG22" s="352" t="s">
        <v>15</v>
      </c>
      <c r="AH22" s="353">
        <f>SUM(AH2:AH21)</f>
        <v>20868.113522537562</v>
      </c>
      <c r="AI22" s="353">
        <f t="shared" ref="AI22:BJ22" si="49">SUM(AI2:AI21)</f>
        <v>72342.793544796878</v>
      </c>
      <c r="AJ22" s="353">
        <f t="shared" si="49"/>
        <v>29215.358931552586</v>
      </c>
      <c r="AK22" s="353">
        <f t="shared" si="49"/>
        <v>22454.090150250417</v>
      </c>
      <c r="AL22" s="353">
        <f t="shared" si="49"/>
        <v>37033.945464663324</v>
      </c>
      <c r="AM22" s="353">
        <f t="shared" si="49"/>
        <v>1412756.95</v>
      </c>
      <c r="AN22" s="353">
        <f t="shared" si="49"/>
        <v>249310.05</v>
      </c>
      <c r="AO22" s="353">
        <f t="shared" si="49"/>
        <v>18085.698386199219</v>
      </c>
      <c r="AP22" s="353">
        <f t="shared" si="49"/>
        <v>0</v>
      </c>
      <c r="AQ22" s="353">
        <f t="shared" si="49"/>
        <v>0</v>
      </c>
      <c r="AR22" s="353">
        <f t="shared" si="49"/>
        <v>0</v>
      </c>
      <c r="AS22" s="353">
        <f t="shared" si="49"/>
        <v>0</v>
      </c>
      <c r="AT22" s="353">
        <f t="shared" si="49"/>
        <v>0</v>
      </c>
      <c r="AU22" s="353">
        <f t="shared" si="49"/>
        <v>0</v>
      </c>
      <c r="AV22" s="353">
        <f t="shared" si="49"/>
        <v>0</v>
      </c>
      <c r="AW22" s="353">
        <f t="shared" si="49"/>
        <v>0</v>
      </c>
      <c r="AX22" s="353">
        <f t="shared" si="49"/>
        <v>0</v>
      </c>
      <c r="AY22" s="353">
        <f t="shared" si="49"/>
        <v>0</v>
      </c>
      <c r="AZ22" s="353">
        <f t="shared" si="49"/>
        <v>0</v>
      </c>
      <c r="BA22" s="353">
        <f t="shared" si="49"/>
        <v>0</v>
      </c>
      <c r="BB22" s="353">
        <f t="shared" si="49"/>
        <v>0</v>
      </c>
      <c r="BC22" s="353">
        <f t="shared" si="49"/>
        <v>0</v>
      </c>
      <c r="BD22" s="353">
        <f t="shared" si="49"/>
        <v>0</v>
      </c>
      <c r="BE22" s="353">
        <f t="shared" si="49"/>
        <v>0</v>
      </c>
      <c r="BF22" s="353">
        <f t="shared" si="49"/>
        <v>0</v>
      </c>
      <c r="BG22" s="353">
        <f t="shared" si="49"/>
        <v>0</v>
      </c>
      <c r="BH22" s="353">
        <f t="shared" si="49"/>
        <v>0</v>
      </c>
      <c r="BI22" s="353">
        <f t="shared" si="49"/>
        <v>0</v>
      </c>
      <c r="BJ22" s="353">
        <f t="shared" si="49"/>
        <v>0</v>
      </c>
      <c r="BM22" s="352" t="s">
        <v>15</v>
      </c>
      <c r="BN22" s="353">
        <f>SUM(BN2:BN21)</f>
        <v>0</v>
      </c>
      <c r="BO22" s="353">
        <f t="shared" ref="BO22:DI22" si="50">SUM(BO2:BO21)</f>
        <v>20868.113522537562</v>
      </c>
      <c r="BP22" s="353">
        <f t="shared" si="50"/>
        <v>0</v>
      </c>
      <c r="BQ22" s="353">
        <f t="shared" si="50"/>
        <v>0</v>
      </c>
      <c r="BR22" s="353">
        <f t="shared" si="50"/>
        <v>0</v>
      </c>
      <c r="BS22" s="353">
        <f t="shared" si="50"/>
        <v>0</v>
      </c>
      <c r="BT22" s="353">
        <f t="shared" si="50"/>
        <v>0</v>
      </c>
      <c r="BU22" s="353">
        <f t="shared" si="50"/>
        <v>72342.793544796878</v>
      </c>
      <c r="BV22" s="353">
        <f t="shared" si="50"/>
        <v>0</v>
      </c>
      <c r="BW22" s="353">
        <f t="shared" si="50"/>
        <v>0</v>
      </c>
      <c r="BX22" s="353">
        <f t="shared" si="50"/>
        <v>0</v>
      </c>
      <c r="BY22" s="353">
        <f t="shared" si="50"/>
        <v>0</v>
      </c>
      <c r="BZ22" s="353">
        <f t="shared" si="50"/>
        <v>0</v>
      </c>
      <c r="CA22" s="353">
        <f t="shared" si="50"/>
        <v>29215.358931552586</v>
      </c>
      <c r="CB22" s="353">
        <f t="shared" si="50"/>
        <v>0</v>
      </c>
      <c r="CC22" s="353">
        <f t="shared" si="50"/>
        <v>0</v>
      </c>
      <c r="CD22" s="353">
        <f t="shared" si="50"/>
        <v>0</v>
      </c>
      <c r="CE22" s="353">
        <f t="shared" si="50"/>
        <v>0</v>
      </c>
      <c r="CF22" s="353">
        <f t="shared" si="50"/>
        <v>0</v>
      </c>
      <c r="CG22" s="353">
        <f t="shared" si="50"/>
        <v>22454.090150250417</v>
      </c>
      <c r="CH22" s="353">
        <f t="shared" si="50"/>
        <v>0</v>
      </c>
      <c r="CI22" s="353">
        <f t="shared" si="50"/>
        <v>0</v>
      </c>
      <c r="CJ22" s="353">
        <f t="shared" si="50"/>
        <v>0</v>
      </c>
      <c r="CK22" s="353">
        <f t="shared" si="50"/>
        <v>0</v>
      </c>
      <c r="CL22" s="353">
        <f t="shared" si="50"/>
        <v>0</v>
      </c>
      <c r="CM22" s="353">
        <f t="shared" si="50"/>
        <v>37033.945464663324</v>
      </c>
      <c r="CN22" s="353">
        <f t="shared" si="50"/>
        <v>0</v>
      </c>
      <c r="CO22" s="353">
        <f t="shared" si="50"/>
        <v>0</v>
      </c>
      <c r="CP22" s="353">
        <f t="shared" si="50"/>
        <v>0</v>
      </c>
      <c r="CQ22" s="353">
        <f t="shared" si="50"/>
        <v>0</v>
      </c>
      <c r="CR22" s="353">
        <f t="shared" si="50"/>
        <v>0</v>
      </c>
      <c r="CS22" s="353">
        <f t="shared" si="50"/>
        <v>1412756.95</v>
      </c>
      <c r="CT22" s="353">
        <f t="shared" si="50"/>
        <v>0</v>
      </c>
      <c r="CU22" s="353">
        <f t="shared" si="50"/>
        <v>0</v>
      </c>
      <c r="CV22" s="353">
        <f t="shared" si="50"/>
        <v>0</v>
      </c>
      <c r="CW22" s="353">
        <f t="shared" si="50"/>
        <v>0</v>
      </c>
      <c r="CX22" s="353">
        <f t="shared" si="50"/>
        <v>0</v>
      </c>
      <c r="CY22" s="353">
        <f t="shared" si="50"/>
        <v>249310.05</v>
      </c>
      <c r="CZ22" s="353">
        <f t="shared" si="50"/>
        <v>0</v>
      </c>
      <c r="DA22" s="353">
        <f t="shared" si="50"/>
        <v>0</v>
      </c>
      <c r="DB22" s="353">
        <f t="shared" si="50"/>
        <v>0</v>
      </c>
      <c r="DC22" s="353">
        <f t="shared" si="50"/>
        <v>0</v>
      </c>
      <c r="DD22" s="353">
        <f t="shared" si="50"/>
        <v>0</v>
      </c>
      <c r="DE22" s="353">
        <f t="shared" si="50"/>
        <v>18085.698386199219</v>
      </c>
      <c r="DF22" s="353">
        <f t="shared" si="50"/>
        <v>0</v>
      </c>
      <c r="DG22" s="353">
        <f t="shared" si="50"/>
        <v>0</v>
      </c>
      <c r="DH22" s="353">
        <f t="shared" si="50"/>
        <v>0</v>
      </c>
      <c r="DI22" s="353">
        <f t="shared" si="50"/>
        <v>0</v>
      </c>
    </row>
    <row r="23" spans="1:113" s="4" customFormat="1" ht="14" x14ac:dyDescent="0.3">
      <c r="K23" s="58"/>
      <c r="AE23" s="58"/>
    </row>
    <row r="24" spans="1:113" s="4" customFormat="1" ht="14" x14ac:dyDescent="0.3">
      <c r="K24" s="58"/>
      <c r="AE24" s="58"/>
      <c r="AG24" s="352" t="s">
        <v>433</v>
      </c>
      <c r="AH24" s="355">
        <f t="shared" ref="AH24:BJ24" si="51">AH22*0.2</f>
        <v>4173.6227045075129</v>
      </c>
      <c r="AI24" s="355">
        <f t="shared" si="51"/>
        <v>14468.558708959376</v>
      </c>
      <c r="AJ24" s="355">
        <f t="shared" si="51"/>
        <v>5843.0717863105174</v>
      </c>
      <c r="AK24" s="355">
        <f t="shared" si="51"/>
        <v>4490.8180300500835</v>
      </c>
      <c r="AL24" s="355">
        <f t="shared" si="51"/>
        <v>7406.789092932665</v>
      </c>
      <c r="AM24" s="355">
        <f t="shared" si="51"/>
        <v>282551.39</v>
      </c>
      <c r="AN24" s="355">
        <f t="shared" si="51"/>
        <v>49862.01</v>
      </c>
      <c r="AO24" s="355">
        <f t="shared" si="51"/>
        <v>3617.1396772398439</v>
      </c>
      <c r="AP24" s="355">
        <f t="shared" si="51"/>
        <v>0</v>
      </c>
      <c r="AQ24" s="355">
        <f t="shared" si="51"/>
        <v>0</v>
      </c>
      <c r="AR24" s="355">
        <f t="shared" si="51"/>
        <v>0</v>
      </c>
      <c r="AS24" s="355">
        <f t="shared" si="51"/>
        <v>0</v>
      </c>
      <c r="AT24" s="355">
        <f t="shared" si="51"/>
        <v>0</v>
      </c>
      <c r="AU24" s="355">
        <f t="shared" si="51"/>
        <v>0</v>
      </c>
      <c r="AV24" s="355">
        <f t="shared" si="51"/>
        <v>0</v>
      </c>
      <c r="AW24" s="355">
        <f t="shared" si="51"/>
        <v>0</v>
      </c>
      <c r="AX24" s="355">
        <f t="shared" si="51"/>
        <v>0</v>
      </c>
      <c r="AY24" s="355">
        <f t="shared" si="51"/>
        <v>0</v>
      </c>
      <c r="AZ24" s="355">
        <f t="shared" si="51"/>
        <v>0</v>
      </c>
      <c r="BA24" s="355">
        <f t="shared" si="51"/>
        <v>0</v>
      </c>
      <c r="BB24" s="355">
        <f t="shared" si="51"/>
        <v>0</v>
      </c>
      <c r="BC24" s="355">
        <f t="shared" si="51"/>
        <v>0</v>
      </c>
      <c r="BD24" s="355">
        <f t="shared" si="51"/>
        <v>0</v>
      </c>
      <c r="BE24" s="355">
        <f t="shared" si="51"/>
        <v>0</v>
      </c>
      <c r="BF24" s="355">
        <f t="shared" si="51"/>
        <v>0</v>
      </c>
      <c r="BG24" s="355">
        <f t="shared" si="51"/>
        <v>0</v>
      </c>
      <c r="BH24" s="355">
        <f t="shared" si="51"/>
        <v>0</v>
      </c>
      <c r="BI24" s="355">
        <f t="shared" si="51"/>
        <v>0</v>
      </c>
      <c r="BJ24" s="355">
        <f t="shared" si="51"/>
        <v>0</v>
      </c>
      <c r="BM24" s="352" t="s">
        <v>433</v>
      </c>
      <c r="BN24" s="424">
        <f>BN22*0.2</f>
        <v>0</v>
      </c>
      <c r="BO24" s="355">
        <f t="shared" ref="BO24:DI24" si="52">BO22*0.2</f>
        <v>4173.6227045075129</v>
      </c>
      <c r="BP24" s="355">
        <f t="shared" si="52"/>
        <v>0</v>
      </c>
      <c r="BQ24" s="355">
        <f t="shared" si="52"/>
        <v>0</v>
      </c>
      <c r="BR24" s="355">
        <f t="shared" si="52"/>
        <v>0</v>
      </c>
      <c r="BS24" s="355">
        <f t="shared" si="52"/>
        <v>0</v>
      </c>
      <c r="BT24" s="355">
        <f t="shared" si="52"/>
        <v>0</v>
      </c>
      <c r="BU24" s="355">
        <f t="shared" si="52"/>
        <v>14468.558708959376</v>
      </c>
      <c r="BV24" s="355">
        <f t="shared" si="52"/>
        <v>0</v>
      </c>
      <c r="BW24" s="355">
        <f t="shared" si="52"/>
        <v>0</v>
      </c>
      <c r="BX24" s="355">
        <f t="shared" si="52"/>
        <v>0</v>
      </c>
      <c r="BY24" s="355">
        <f t="shared" si="52"/>
        <v>0</v>
      </c>
      <c r="BZ24" s="355">
        <f t="shared" si="52"/>
        <v>0</v>
      </c>
      <c r="CA24" s="355">
        <f t="shared" si="52"/>
        <v>5843.0717863105174</v>
      </c>
      <c r="CB24" s="355">
        <f t="shared" si="52"/>
        <v>0</v>
      </c>
      <c r="CC24" s="355">
        <f t="shared" si="52"/>
        <v>0</v>
      </c>
      <c r="CD24" s="355">
        <f t="shared" si="52"/>
        <v>0</v>
      </c>
      <c r="CE24" s="355">
        <f t="shared" si="52"/>
        <v>0</v>
      </c>
      <c r="CF24" s="355">
        <f t="shared" si="52"/>
        <v>0</v>
      </c>
      <c r="CG24" s="355">
        <f t="shared" si="52"/>
        <v>4490.8180300500835</v>
      </c>
      <c r="CH24" s="355">
        <f t="shared" si="52"/>
        <v>0</v>
      </c>
      <c r="CI24" s="355">
        <f t="shared" si="52"/>
        <v>0</v>
      </c>
      <c r="CJ24" s="355">
        <f t="shared" si="52"/>
        <v>0</v>
      </c>
      <c r="CK24" s="355">
        <f t="shared" si="52"/>
        <v>0</v>
      </c>
      <c r="CL24" s="355">
        <f t="shared" si="52"/>
        <v>0</v>
      </c>
      <c r="CM24" s="355">
        <f t="shared" si="52"/>
        <v>7406.789092932665</v>
      </c>
      <c r="CN24" s="355">
        <f t="shared" si="52"/>
        <v>0</v>
      </c>
      <c r="CO24" s="355">
        <f t="shared" si="52"/>
        <v>0</v>
      </c>
      <c r="CP24" s="355">
        <f t="shared" si="52"/>
        <v>0</v>
      </c>
      <c r="CQ24" s="355">
        <f t="shared" si="52"/>
        <v>0</v>
      </c>
      <c r="CR24" s="355">
        <f t="shared" si="52"/>
        <v>0</v>
      </c>
      <c r="CS24" s="355">
        <f t="shared" si="52"/>
        <v>282551.39</v>
      </c>
      <c r="CT24" s="355">
        <f t="shared" si="52"/>
        <v>0</v>
      </c>
      <c r="CU24" s="355">
        <f t="shared" si="52"/>
        <v>0</v>
      </c>
      <c r="CV24" s="355">
        <f t="shared" si="52"/>
        <v>0</v>
      </c>
      <c r="CW24" s="355">
        <f t="shared" si="52"/>
        <v>0</v>
      </c>
      <c r="CX24" s="355">
        <f t="shared" si="52"/>
        <v>0</v>
      </c>
      <c r="CY24" s="355">
        <f t="shared" si="52"/>
        <v>49862.01</v>
      </c>
      <c r="CZ24" s="355">
        <f t="shared" si="52"/>
        <v>0</v>
      </c>
      <c r="DA24" s="355">
        <f t="shared" si="52"/>
        <v>0</v>
      </c>
      <c r="DB24" s="355">
        <f t="shared" si="52"/>
        <v>0</v>
      </c>
      <c r="DC24" s="355">
        <f t="shared" si="52"/>
        <v>0</v>
      </c>
      <c r="DD24" s="355">
        <f t="shared" si="52"/>
        <v>0</v>
      </c>
      <c r="DE24" s="355">
        <f t="shared" si="52"/>
        <v>3617.1396772398439</v>
      </c>
      <c r="DF24" s="355">
        <f t="shared" si="52"/>
        <v>0</v>
      </c>
      <c r="DG24" s="355">
        <f t="shared" si="52"/>
        <v>0</v>
      </c>
      <c r="DH24" s="355">
        <f t="shared" si="52"/>
        <v>0</v>
      </c>
      <c r="DI24" s="355">
        <f t="shared" si="52"/>
        <v>0</v>
      </c>
    </row>
    <row r="25" spans="1:113" s="4" customFormat="1" ht="14" x14ac:dyDescent="0.3">
      <c r="K25" s="58"/>
      <c r="AE25" s="58"/>
    </row>
    <row r="26" spans="1:113" s="4" customFormat="1" thickBot="1" x14ac:dyDescent="0.35">
      <c r="K26" s="58"/>
      <c r="AE26" s="58"/>
      <c r="AG26" s="352" t="s">
        <v>434</v>
      </c>
      <c r="AH26" s="110">
        <f>SUM(AH22:AH24)</f>
        <v>25041.736227045076</v>
      </c>
      <c r="AI26" s="110">
        <f t="shared" ref="AI26:BJ26" si="53">SUM(AI22:AI24)</f>
        <v>86811.352253756253</v>
      </c>
      <c r="AJ26" s="110">
        <f t="shared" si="53"/>
        <v>35058.430717863106</v>
      </c>
      <c r="AK26" s="110">
        <f t="shared" si="53"/>
        <v>26944.908180300499</v>
      </c>
      <c r="AL26" s="110">
        <f t="shared" si="53"/>
        <v>44440.734557595992</v>
      </c>
      <c r="AM26" s="110">
        <f t="shared" si="53"/>
        <v>1695308.3399999999</v>
      </c>
      <c r="AN26" s="110">
        <f t="shared" si="53"/>
        <v>299172.06</v>
      </c>
      <c r="AO26" s="110">
        <f t="shared" si="53"/>
        <v>21702.838063439063</v>
      </c>
      <c r="AP26" s="110">
        <f t="shared" si="53"/>
        <v>0</v>
      </c>
      <c r="AQ26" s="110">
        <f t="shared" si="53"/>
        <v>0</v>
      </c>
      <c r="AR26" s="110">
        <f t="shared" si="53"/>
        <v>0</v>
      </c>
      <c r="AS26" s="110">
        <f t="shared" si="53"/>
        <v>0</v>
      </c>
      <c r="AT26" s="110">
        <f t="shared" si="53"/>
        <v>0</v>
      </c>
      <c r="AU26" s="110">
        <f t="shared" si="53"/>
        <v>0</v>
      </c>
      <c r="AV26" s="110">
        <f t="shared" si="53"/>
        <v>0</v>
      </c>
      <c r="AW26" s="110">
        <f t="shared" si="53"/>
        <v>0</v>
      </c>
      <c r="AX26" s="110">
        <f t="shared" si="53"/>
        <v>0</v>
      </c>
      <c r="AY26" s="110">
        <f t="shared" si="53"/>
        <v>0</v>
      </c>
      <c r="AZ26" s="110">
        <f t="shared" si="53"/>
        <v>0</v>
      </c>
      <c r="BA26" s="110">
        <f t="shared" si="53"/>
        <v>0</v>
      </c>
      <c r="BB26" s="110">
        <f t="shared" si="53"/>
        <v>0</v>
      </c>
      <c r="BC26" s="110">
        <f t="shared" si="53"/>
        <v>0</v>
      </c>
      <c r="BD26" s="110">
        <f t="shared" si="53"/>
        <v>0</v>
      </c>
      <c r="BE26" s="110">
        <f t="shared" si="53"/>
        <v>0</v>
      </c>
      <c r="BF26" s="110">
        <f t="shared" si="53"/>
        <v>0</v>
      </c>
      <c r="BG26" s="110">
        <f t="shared" si="53"/>
        <v>0</v>
      </c>
      <c r="BH26" s="110">
        <f t="shared" si="53"/>
        <v>0</v>
      </c>
      <c r="BI26" s="110">
        <f t="shared" si="53"/>
        <v>0</v>
      </c>
      <c r="BJ26" s="110">
        <f t="shared" si="53"/>
        <v>0</v>
      </c>
      <c r="BM26" s="352" t="s">
        <v>434</v>
      </c>
      <c r="BN26" s="110">
        <f>SUM(BN22:BN24)</f>
        <v>0</v>
      </c>
      <c r="BO26" s="110">
        <f t="shared" ref="BO26:DI26" si="54">SUM(BO22:BO24)</f>
        <v>25041.736227045076</v>
      </c>
      <c r="BP26" s="110">
        <f t="shared" si="54"/>
        <v>0</v>
      </c>
      <c r="BQ26" s="110">
        <f t="shared" si="54"/>
        <v>0</v>
      </c>
      <c r="BR26" s="110">
        <f t="shared" si="54"/>
        <v>0</v>
      </c>
      <c r="BS26" s="110">
        <f t="shared" si="54"/>
        <v>0</v>
      </c>
      <c r="BT26" s="110">
        <f t="shared" si="54"/>
        <v>0</v>
      </c>
      <c r="BU26" s="110">
        <f t="shared" si="54"/>
        <v>86811.352253756253</v>
      </c>
      <c r="BV26" s="110">
        <f t="shared" si="54"/>
        <v>0</v>
      </c>
      <c r="BW26" s="110">
        <f t="shared" si="54"/>
        <v>0</v>
      </c>
      <c r="BX26" s="110">
        <f t="shared" si="54"/>
        <v>0</v>
      </c>
      <c r="BY26" s="110">
        <f t="shared" si="54"/>
        <v>0</v>
      </c>
      <c r="BZ26" s="110">
        <f t="shared" si="54"/>
        <v>0</v>
      </c>
      <c r="CA26" s="110">
        <f t="shared" si="54"/>
        <v>35058.430717863106</v>
      </c>
      <c r="CB26" s="110">
        <f t="shared" si="54"/>
        <v>0</v>
      </c>
      <c r="CC26" s="110">
        <f t="shared" si="54"/>
        <v>0</v>
      </c>
      <c r="CD26" s="110">
        <f t="shared" si="54"/>
        <v>0</v>
      </c>
      <c r="CE26" s="110">
        <f t="shared" si="54"/>
        <v>0</v>
      </c>
      <c r="CF26" s="110">
        <f t="shared" si="54"/>
        <v>0</v>
      </c>
      <c r="CG26" s="110">
        <f t="shared" si="54"/>
        <v>26944.908180300499</v>
      </c>
      <c r="CH26" s="110">
        <f t="shared" si="54"/>
        <v>0</v>
      </c>
      <c r="CI26" s="110">
        <f t="shared" si="54"/>
        <v>0</v>
      </c>
      <c r="CJ26" s="110">
        <f t="shared" si="54"/>
        <v>0</v>
      </c>
      <c r="CK26" s="110">
        <f t="shared" si="54"/>
        <v>0</v>
      </c>
      <c r="CL26" s="110">
        <f t="shared" si="54"/>
        <v>0</v>
      </c>
      <c r="CM26" s="110">
        <f t="shared" si="54"/>
        <v>44440.734557595992</v>
      </c>
      <c r="CN26" s="110">
        <f t="shared" si="54"/>
        <v>0</v>
      </c>
      <c r="CO26" s="110">
        <f t="shared" si="54"/>
        <v>0</v>
      </c>
      <c r="CP26" s="110">
        <f t="shared" si="54"/>
        <v>0</v>
      </c>
      <c r="CQ26" s="110">
        <f t="shared" si="54"/>
        <v>0</v>
      </c>
      <c r="CR26" s="110">
        <f t="shared" si="54"/>
        <v>0</v>
      </c>
      <c r="CS26" s="110">
        <f t="shared" si="54"/>
        <v>1695308.3399999999</v>
      </c>
      <c r="CT26" s="110">
        <f t="shared" si="54"/>
        <v>0</v>
      </c>
      <c r="CU26" s="110">
        <f t="shared" si="54"/>
        <v>0</v>
      </c>
      <c r="CV26" s="110">
        <f t="shared" si="54"/>
        <v>0</v>
      </c>
      <c r="CW26" s="110">
        <f t="shared" si="54"/>
        <v>0</v>
      </c>
      <c r="CX26" s="110">
        <f t="shared" si="54"/>
        <v>0</v>
      </c>
      <c r="CY26" s="110">
        <f t="shared" si="54"/>
        <v>299172.06</v>
      </c>
      <c r="CZ26" s="110">
        <f t="shared" si="54"/>
        <v>0</v>
      </c>
      <c r="DA26" s="110">
        <f t="shared" si="54"/>
        <v>0</v>
      </c>
      <c r="DB26" s="110">
        <f t="shared" si="54"/>
        <v>0</v>
      </c>
      <c r="DC26" s="110">
        <f t="shared" si="54"/>
        <v>0</v>
      </c>
      <c r="DD26" s="110">
        <f t="shared" si="54"/>
        <v>0</v>
      </c>
      <c r="DE26" s="110">
        <f t="shared" si="54"/>
        <v>21702.838063439063</v>
      </c>
      <c r="DF26" s="110">
        <f t="shared" si="54"/>
        <v>0</v>
      </c>
      <c r="DG26" s="110">
        <f t="shared" si="54"/>
        <v>0</v>
      </c>
      <c r="DH26" s="110">
        <f t="shared" si="54"/>
        <v>0</v>
      </c>
      <c r="DI26" s="110">
        <f t="shared" si="54"/>
        <v>0</v>
      </c>
    </row>
    <row r="27" spans="1:113" thickTop="1" x14ac:dyDescent="0.35">
      <c r="BM27" s="348"/>
      <c r="BN27" s="348"/>
      <c r="BO27" s="348"/>
      <c r="BP27" s="348"/>
      <c r="BQ27" s="348"/>
      <c r="BR27" s="348"/>
      <c r="BS27" s="351">
        <f>SUM(BN26:BS26)</f>
        <v>25041.736227045076</v>
      </c>
      <c r="BT27" s="348"/>
      <c r="BU27" s="348"/>
      <c r="BV27" s="348"/>
      <c r="BW27" s="348"/>
      <c r="BX27" s="348"/>
      <c r="BY27" s="351">
        <f>SUM(BT26:BY26)</f>
        <v>86811.352253756253</v>
      </c>
      <c r="BZ27" s="348"/>
      <c r="CA27" s="348"/>
      <c r="CB27" s="348"/>
      <c r="CC27" s="348"/>
      <c r="CD27" s="348"/>
      <c r="CE27" s="351">
        <f>SUM(BZ26:CE26)</f>
        <v>35058.430717863106</v>
      </c>
      <c r="CF27" s="348"/>
      <c r="CG27" s="348"/>
      <c r="CH27" s="348"/>
      <c r="CI27" s="348"/>
      <c r="CJ27" s="348"/>
      <c r="CK27" s="351">
        <f>SUM(CF26:CK26)</f>
        <v>26944.908180300499</v>
      </c>
      <c r="CL27" s="348"/>
      <c r="CM27" s="348"/>
      <c r="CN27" s="348"/>
      <c r="CO27" s="348"/>
      <c r="CP27" s="348"/>
      <c r="CQ27" s="351">
        <f>SUM(CL26:CQ26)</f>
        <v>44440.734557595992</v>
      </c>
      <c r="CR27" s="348"/>
      <c r="CS27" s="348"/>
      <c r="CT27" s="348"/>
      <c r="CU27" s="348"/>
      <c r="CV27" s="348"/>
      <c r="CW27" s="351">
        <f>SUM(CR26:CW26)</f>
        <v>1695308.3399999999</v>
      </c>
      <c r="CX27" s="348"/>
      <c r="CY27" s="348"/>
      <c r="CZ27" s="348"/>
      <c r="DA27" s="348"/>
      <c r="DB27" s="348"/>
      <c r="DC27" s="351">
        <f>SUM(CX26:DC26)</f>
        <v>299172.06</v>
      </c>
      <c r="DD27" s="348"/>
      <c r="DE27" s="348"/>
      <c r="DF27" s="348"/>
      <c r="DG27" s="348"/>
      <c r="DH27" s="348"/>
      <c r="DI27" s="351">
        <f>SUM(DD26:DI26)</f>
        <v>21702.838063439063</v>
      </c>
    </row>
    <row r="28" spans="1:113" ht="14" x14ac:dyDescent="0.35">
      <c r="BM28" s="348"/>
      <c r="BN28" s="348"/>
      <c r="BO28" s="348"/>
      <c r="BP28" s="348"/>
      <c r="BQ28" s="348"/>
      <c r="BR28" s="348"/>
      <c r="BS28" s="350" t="b">
        <f>BS27=AH26</f>
        <v>1</v>
      </c>
      <c r="BT28" s="348"/>
      <c r="BU28" s="348"/>
      <c r="BV28" s="348"/>
      <c r="BW28" s="348"/>
      <c r="BX28" s="348"/>
      <c r="BY28" s="350" t="b">
        <f>BY27=AI26</f>
        <v>1</v>
      </c>
      <c r="BZ28" s="348"/>
      <c r="CA28" s="348"/>
      <c r="CB28" s="348"/>
      <c r="CC28" s="348"/>
      <c r="CD28" s="348"/>
      <c r="CE28" s="350" t="b">
        <f>CE27=AJ26</f>
        <v>1</v>
      </c>
      <c r="CF28" s="348"/>
      <c r="CG28" s="348"/>
      <c r="CH28" s="348"/>
      <c r="CI28" s="348"/>
      <c r="CJ28" s="348"/>
      <c r="CK28" s="350" t="b">
        <f>CK27=AK26</f>
        <v>1</v>
      </c>
      <c r="CL28" s="348"/>
      <c r="CM28" s="348"/>
      <c r="CN28" s="348"/>
      <c r="CO28" s="348"/>
      <c r="CP28" s="348"/>
      <c r="CQ28" s="350" t="b">
        <f>CQ27=AL26</f>
        <v>1</v>
      </c>
      <c r="CR28" s="348"/>
      <c r="CS28" s="348"/>
      <c r="CT28" s="348"/>
      <c r="CU28" s="348"/>
      <c r="CV28" s="348"/>
      <c r="CW28" s="350" t="b">
        <f>CW27=AM26</f>
        <v>1</v>
      </c>
      <c r="CX28" s="348"/>
      <c r="CY28" s="348"/>
      <c r="CZ28" s="348"/>
      <c r="DA28" s="348"/>
      <c r="DB28" s="348"/>
      <c r="DC28" s="350" t="b">
        <f>DC27=AN26</f>
        <v>1</v>
      </c>
      <c r="DD28" s="348"/>
      <c r="DE28" s="348"/>
      <c r="DF28" s="348"/>
      <c r="DG28" s="348"/>
      <c r="DH28" s="348"/>
      <c r="DI28" s="350" t="b">
        <f>DI27=AO26</f>
        <v>1</v>
      </c>
    </row>
    <row r="29" spans="1:113" ht="14" x14ac:dyDescent="0.35">
      <c r="AH29" s="278">
        <f>AH24/AH22</f>
        <v>0.20000000000000004</v>
      </c>
      <c r="AI29" s="278">
        <f t="shared" ref="AI29:AN29" si="55">AI24/AI22</f>
        <v>0.2</v>
      </c>
      <c r="AJ29" s="278">
        <f t="shared" si="55"/>
        <v>0.2</v>
      </c>
      <c r="AK29" s="278">
        <f t="shared" si="55"/>
        <v>0.2</v>
      </c>
      <c r="AL29" s="278">
        <f t="shared" si="55"/>
        <v>0.2</v>
      </c>
      <c r="AM29" s="278">
        <f t="shared" si="55"/>
        <v>0.2</v>
      </c>
      <c r="AN29" s="278">
        <f t="shared" si="55"/>
        <v>0.2</v>
      </c>
      <c r="BM29" s="348"/>
      <c r="BN29" s="348"/>
      <c r="BO29" s="348"/>
      <c r="BP29" s="348"/>
      <c r="BQ29" s="348"/>
      <c r="BR29" s="348"/>
      <c r="BS29" s="348"/>
      <c r="BT29" s="348"/>
      <c r="BU29" s="348"/>
      <c r="BV29" s="348"/>
      <c r="BW29" s="348"/>
      <c r="BX29" s="348"/>
      <c r="BY29" s="348"/>
      <c r="BZ29" s="348"/>
      <c r="CA29" s="348"/>
      <c r="CB29" s="348"/>
      <c r="CC29" s="348"/>
      <c r="CD29" s="348"/>
      <c r="CE29" s="348"/>
      <c r="CF29" s="348"/>
      <c r="CG29" s="348"/>
      <c r="CH29" s="348"/>
      <c r="CI29" s="348"/>
      <c r="CJ29" s="348"/>
      <c r="CK29" s="348"/>
      <c r="CL29" s="348"/>
      <c r="CM29" s="348"/>
      <c r="CN29" s="348"/>
      <c r="CO29" s="348"/>
      <c r="CP29" s="348"/>
      <c r="CQ29" s="348"/>
      <c r="CR29" s="348"/>
      <c r="CS29" s="348"/>
      <c r="CT29" s="348"/>
      <c r="CU29" s="348"/>
      <c r="CV29" s="348"/>
      <c r="CW29" s="348"/>
      <c r="CX29" s="348"/>
      <c r="CY29" s="348"/>
      <c r="CZ29" s="348"/>
      <c r="DA29" s="348"/>
      <c r="DB29" s="348"/>
      <c r="DC29" s="348"/>
      <c r="DD29" s="348"/>
      <c r="DE29" s="348"/>
      <c r="DF29" s="348"/>
      <c r="DG29" s="348"/>
      <c r="DH29" s="348"/>
      <c r="DI29" s="348"/>
    </row>
    <row r="30" spans="1:113" ht="14" x14ac:dyDescent="0.35">
      <c r="BM30" s="348"/>
      <c r="BN30" s="348"/>
      <c r="BO30" s="348"/>
      <c r="BP30" s="348"/>
      <c r="BQ30" s="348"/>
      <c r="BR30" s="348"/>
      <c r="BS30" s="348"/>
      <c r="BT30" s="348"/>
      <c r="BU30" s="348"/>
      <c r="BV30" s="348"/>
      <c r="BW30" s="348"/>
      <c r="BX30" s="348"/>
      <c r="BY30" s="348"/>
      <c r="BZ30" s="348"/>
      <c r="CA30" s="348"/>
      <c r="CB30" s="348"/>
      <c r="CC30" s="348"/>
      <c r="CD30" s="348"/>
      <c r="CE30" s="348"/>
      <c r="CF30" s="348"/>
      <c r="CG30" s="348"/>
      <c r="CH30" s="348"/>
      <c r="CI30" s="348"/>
      <c r="CJ30" s="348"/>
      <c r="CK30" s="348"/>
      <c r="CL30" s="348"/>
      <c r="CM30" s="348"/>
      <c r="CN30" s="348"/>
      <c r="CO30" s="348"/>
      <c r="CP30" s="348"/>
      <c r="CQ30" s="348"/>
      <c r="CR30" s="348"/>
      <c r="CS30" s="348"/>
      <c r="CT30" s="348"/>
      <c r="CU30" s="348"/>
      <c r="CV30" s="348"/>
      <c r="CW30" s="348"/>
      <c r="CX30" s="348"/>
      <c r="CY30" s="348"/>
      <c r="CZ30" s="348"/>
      <c r="DA30" s="348"/>
      <c r="DB30" s="348"/>
      <c r="DC30" s="348"/>
      <c r="DD30" s="348"/>
      <c r="DE30" s="348"/>
      <c r="DF30" s="348"/>
      <c r="DG30" s="348"/>
      <c r="DH30" s="348"/>
      <c r="DI30" s="348"/>
    </row>
    <row r="31" spans="1:113" ht="14" x14ac:dyDescent="0.35">
      <c r="BM31" s="348"/>
      <c r="BN31" s="348"/>
      <c r="BO31" s="348"/>
      <c r="BP31" s="348"/>
      <c r="BQ31" s="348"/>
      <c r="BR31" s="348"/>
      <c r="BS31" s="348"/>
      <c r="BT31" s="348"/>
      <c r="BU31" s="348"/>
      <c r="BV31" s="348"/>
      <c r="BW31" s="348"/>
      <c r="BX31" s="348"/>
      <c r="BY31" s="348"/>
      <c r="BZ31" s="348"/>
      <c r="CA31" s="348"/>
      <c r="CB31" s="348"/>
      <c r="CC31" s="348"/>
      <c r="CD31" s="348"/>
      <c r="CE31" s="348"/>
      <c r="CF31" s="348"/>
      <c r="CG31" s="348"/>
      <c r="CH31" s="348"/>
      <c r="CI31" s="348"/>
      <c r="CJ31" s="348"/>
      <c r="CK31" s="348"/>
      <c r="CL31" s="348"/>
      <c r="CM31" s="348"/>
      <c r="CN31" s="348"/>
      <c r="CO31" s="348"/>
      <c r="CP31" s="348"/>
      <c r="CQ31" s="348"/>
      <c r="CR31" s="348"/>
      <c r="CS31" s="348"/>
      <c r="CT31" s="348"/>
      <c r="CU31" s="348"/>
      <c r="CV31" s="348"/>
      <c r="CW31" s="348"/>
      <c r="CX31" s="348"/>
      <c r="CY31" s="348"/>
      <c r="CZ31" s="348"/>
      <c r="DA31" s="348"/>
      <c r="DB31" s="348"/>
      <c r="DC31" s="348"/>
      <c r="DD31" s="348"/>
      <c r="DE31" s="348"/>
      <c r="DF31" s="348"/>
      <c r="DG31" s="348"/>
      <c r="DH31" s="348"/>
      <c r="DI31" s="348"/>
    </row>
    <row r="32" spans="1:113" ht="14" x14ac:dyDescent="0.35">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348"/>
      <c r="DC32" s="348"/>
      <c r="DD32" s="348"/>
      <c r="DE32" s="348"/>
      <c r="DF32" s="348"/>
      <c r="DG32" s="348"/>
      <c r="DH32" s="348"/>
      <c r="DI32" s="348"/>
    </row>
    <row r="33" spans="65:113" ht="14" x14ac:dyDescent="0.35">
      <c r="BM33" s="348"/>
      <c r="BN33" s="348"/>
      <c r="BO33" s="348"/>
      <c r="BP33" s="348"/>
      <c r="BQ33" s="348"/>
      <c r="BR33" s="348"/>
      <c r="BS33" s="348"/>
      <c r="BT33" s="348"/>
      <c r="BU33" s="348"/>
      <c r="BV33" s="348"/>
      <c r="BW33" s="348"/>
      <c r="BX33" s="348"/>
      <c r="BY33" s="348"/>
      <c r="BZ33" s="348"/>
      <c r="CA33" s="348"/>
      <c r="CB33" s="348"/>
      <c r="CC33" s="348"/>
      <c r="CD33" s="348"/>
      <c r="CE33" s="348"/>
      <c r="CF33" s="348"/>
      <c r="CG33" s="348"/>
      <c r="CH33" s="348"/>
      <c r="CI33" s="348"/>
      <c r="CJ33" s="348"/>
      <c r="CK33" s="348"/>
      <c r="CL33" s="348"/>
      <c r="CM33" s="348"/>
      <c r="CN33" s="348"/>
      <c r="CO33" s="348"/>
      <c r="CP33" s="348"/>
      <c r="CQ33" s="348"/>
      <c r="CR33" s="348"/>
      <c r="CS33" s="348"/>
      <c r="CT33" s="348"/>
      <c r="CU33" s="348"/>
      <c r="CV33" s="348"/>
      <c r="CW33" s="348"/>
      <c r="CX33" s="348"/>
      <c r="CY33" s="348"/>
      <c r="CZ33" s="348"/>
      <c r="DA33" s="348"/>
      <c r="DB33" s="348"/>
      <c r="DC33" s="348"/>
      <c r="DD33" s="348"/>
      <c r="DE33" s="348"/>
      <c r="DF33" s="348"/>
      <c r="DG33" s="348"/>
      <c r="DH33" s="348"/>
      <c r="DI33" s="348"/>
    </row>
    <row r="34" spans="65:113" ht="14" x14ac:dyDescent="0.35">
      <c r="BM34" s="348"/>
      <c r="BN34" s="348"/>
      <c r="BO34" s="348"/>
      <c r="BP34" s="348"/>
      <c r="BQ34" s="348"/>
      <c r="BR34" s="348"/>
      <c r="BS34" s="348"/>
      <c r="BT34" s="348"/>
      <c r="BU34" s="348"/>
      <c r="BV34" s="348"/>
      <c r="BW34" s="348"/>
      <c r="BX34" s="348"/>
      <c r="BY34" s="348"/>
      <c r="BZ34" s="348"/>
      <c r="CA34" s="348"/>
      <c r="CB34" s="348"/>
      <c r="CC34" s="348"/>
      <c r="CD34" s="348"/>
      <c r="CE34" s="348"/>
      <c r="CF34" s="348"/>
      <c r="CG34" s="348"/>
      <c r="CH34" s="348"/>
      <c r="CI34" s="348"/>
      <c r="CJ34" s="348"/>
      <c r="CK34" s="348"/>
      <c r="CL34" s="348"/>
      <c r="CM34" s="348"/>
      <c r="CN34" s="348"/>
      <c r="CO34" s="348"/>
      <c r="CP34" s="348"/>
      <c r="CQ34" s="348"/>
      <c r="CR34" s="348"/>
      <c r="CS34" s="348"/>
      <c r="CT34" s="348"/>
      <c r="CU34" s="348"/>
      <c r="CV34" s="348"/>
      <c r="CW34" s="348"/>
      <c r="CX34" s="348"/>
      <c r="CY34" s="348"/>
      <c r="CZ34" s="348"/>
      <c r="DA34" s="348"/>
      <c r="DB34" s="348"/>
      <c r="DC34" s="348"/>
      <c r="DD34" s="348"/>
      <c r="DE34" s="348"/>
      <c r="DF34" s="348"/>
      <c r="DG34" s="348"/>
      <c r="DH34" s="348"/>
      <c r="DI34" s="348"/>
    </row>
    <row r="35" spans="65:113" ht="14" x14ac:dyDescent="0.35">
      <c r="BM35" s="348"/>
      <c r="BN35" s="348"/>
      <c r="BO35" s="348"/>
      <c r="BP35" s="348"/>
      <c r="BQ35" s="348"/>
      <c r="BR35" s="348"/>
      <c r="BS35" s="348"/>
      <c r="BT35" s="348"/>
      <c r="BU35" s="348"/>
      <c r="BV35" s="348"/>
      <c r="BW35" s="348"/>
      <c r="BX35" s="348"/>
      <c r="BY35" s="348"/>
      <c r="BZ35" s="348"/>
      <c r="CA35" s="348"/>
      <c r="CB35" s="348"/>
      <c r="CC35" s="348"/>
      <c r="CD35" s="348"/>
      <c r="CE35" s="348"/>
      <c r="CF35" s="348"/>
      <c r="CG35" s="348"/>
      <c r="CH35" s="348"/>
      <c r="CI35" s="348"/>
      <c r="CJ35" s="348"/>
      <c r="CK35" s="348"/>
      <c r="CL35" s="348"/>
      <c r="CM35" s="348"/>
      <c r="CN35" s="348"/>
      <c r="CO35" s="348"/>
      <c r="CP35" s="348"/>
      <c r="CQ35" s="348"/>
      <c r="CR35" s="348"/>
      <c r="CS35" s="348"/>
      <c r="CT35" s="348"/>
      <c r="CU35" s="348"/>
      <c r="CV35" s="348"/>
      <c r="CW35" s="348"/>
      <c r="CX35" s="348"/>
      <c r="CY35" s="348"/>
      <c r="CZ35" s="348"/>
      <c r="DA35" s="348"/>
      <c r="DB35" s="348"/>
      <c r="DC35" s="348"/>
      <c r="DD35" s="348"/>
      <c r="DE35" s="348"/>
      <c r="DF35" s="348"/>
      <c r="DG35" s="348"/>
      <c r="DH35" s="348"/>
      <c r="DI35" s="348"/>
    </row>
    <row r="36" spans="65:113" ht="14" x14ac:dyDescent="0.35">
      <c r="BM36" s="348"/>
      <c r="BN36" s="348"/>
      <c r="BO36" s="348"/>
      <c r="BP36" s="348"/>
      <c r="BQ36" s="348"/>
      <c r="BR36" s="348"/>
      <c r="BS36" s="348"/>
      <c r="BT36" s="348"/>
      <c r="BU36" s="348"/>
      <c r="BV36" s="348"/>
      <c r="BW36" s="348"/>
      <c r="BX36" s="348"/>
      <c r="BY36" s="348"/>
      <c r="BZ36" s="348"/>
      <c r="CA36" s="348"/>
      <c r="CB36" s="348"/>
      <c r="CC36" s="348"/>
      <c r="CD36" s="348"/>
      <c r="CE36" s="348"/>
      <c r="CF36" s="348"/>
      <c r="CG36" s="348"/>
      <c r="CH36" s="348"/>
      <c r="CI36" s="348"/>
      <c r="CJ36" s="348"/>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row>
    <row r="37" spans="65:113" ht="14" x14ac:dyDescent="0.35">
      <c r="BM37" s="348"/>
      <c r="BN37" s="348"/>
      <c r="BO37" s="348"/>
      <c r="BP37" s="348"/>
      <c r="BQ37" s="348"/>
      <c r="BR37" s="348"/>
      <c r="BS37" s="348"/>
      <c r="BT37" s="348"/>
      <c r="BU37" s="348"/>
      <c r="BV37" s="348"/>
      <c r="BW37" s="348"/>
      <c r="BX37" s="348"/>
      <c r="BY37" s="348"/>
      <c r="BZ37" s="348"/>
      <c r="CA37" s="348"/>
      <c r="CB37" s="348"/>
      <c r="CC37" s="348"/>
      <c r="CD37" s="348"/>
      <c r="CE37" s="348"/>
      <c r="CF37" s="348"/>
      <c r="CG37" s="348"/>
      <c r="CH37" s="348"/>
      <c r="CI37" s="348"/>
      <c r="CJ37" s="348"/>
      <c r="CK37" s="348"/>
      <c r="CL37" s="348"/>
      <c r="CM37" s="348"/>
      <c r="CN37" s="348"/>
      <c r="CO37" s="348"/>
      <c r="CP37" s="348"/>
      <c r="CQ37" s="348"/>
      <c r="CR37" s="348"/>
      <c r="CS37" s="348"/>
      <c r="CT37" s="348"/>
      <c r="CU37" s="348"/>
      <c r="CV37" s="348"/>
      <c r="CW37" s="348"/>
      <c r="CX37" s="348"/>
      <c r="CY37" s="348"/>
      <c r="CZ37" s="348"/>
      <c r="DA37" s="348"/>
      <c r="DB37" s="348"/>
      <c r="DC37" s="348"/>
      <c r="DD37" s="348"/>
      <c r="DE37" s="348"/>
      <c r="DF37" s="348"/>
      <c r="DG37" s="348"/>
      <c r="DH37" s="348"/>
      <c r="DI37" s="348"/>
    </row>
  </sheetData>
  <mergeCells count="8">
    <mergeCell ref="CX1:DC1"/>
    <mergeCell ref="DD1:DI1"/>
    <mergeCell ref="BN1:BS1"/>
    <mergeCell ref="BT1:BY1"/>
    <mergeCell ref="BZ1:CE1"/>
    <mergeCell ref="CF1:CK1"/>
    <mergeCell ref="CL1:CQ1"/>
    <mergeCell ref="CR1:CW1"/>
  </mergeCells>
  <conditionalFormatting sqref="D1">
    <cfRule type="containsText" dxfId="151" priority="74" operator="containsText" text="Critical">
      <formula>NOT(ISERROR(SEARCH("Critical",D1)))</formula>
    </cfRule>
  </conditionalFormatting>
  <conditionalFormatting sqref="D1:D9">
    <cfRule type="containsText" dxfId="150" priority="73" operator="containsText" text="Desirable">
      <formula>NOT(ISERROR(SEARCH("Desirable",D1)))</formula>
    </cfRule>
    <cfRule type="containsText" dxfId="149" priority="72" operator="containsText" text="Essential">
      <formula>NOT(ISERROR(SEARCH("Essential",D1)))</formula>
    </cfRule>
    <cfRule type="containsText" dxfId="148" priority="71" operator="containsText" text="Critical">
      <formula>NOT(ISERROR(SEARCH("Critical",D1)))</formula>
    </cfRule>
  </conditionalFormatting>
  <conditionalFormatting sqref="D11:D12">
    <cfRule type="containsText" dxfId="147" priority="75" operator="containsText" text="Critical">
      <formula>NOT(ISERROR(SEARCH("Critical",D11)))</formula>
    </cfRule>
    <cfRule type="containsText" dxfId="146" priority="77" operator="containsText" text="Desirable">
      <formula>NOT(ISERROR(SEARCH("Desirable",D11)))</formula>
    </cfRule>
    <cfRule type="containsText" dxfId="145" priority="76" operator="containsText" text="Essential">
      <formula>NOT(ISERROR(SEARCH("Essential",D11)))</formula>
    </cfRule>
  </conditionalFormatting>
  <conditionalFormatting sqref="D15 D19 D27:D1048576">
    <cfRule type="containsText" dxfId="144" priority="114" operator="containsText" text="Essential">
      <formula>NOT(ISERROR(SEARCH("Essential",D15)))</formula>
    </cfRule>
    <cfRule type="containsText" dxfId="143" priority="113" operator="containsText" text="Critical">
      <formula>NOT(ISERROR(SEARCH("Critical",D15)))</formula>
    </cfRule>
    <cfRule type="containsText" dxfId="142" priority="115" operator="containsText" text="Desirable">
      <formula>NOT(ISERROR(SEARCH("Desirable",D15)))</formula>
    </cfRule>
  </conditionalFormatting>
  <conditionalFormatting sqref="G1">
    <cfRule type="containsText" dxfId="141" priority="51" operator="containsText" text="unknown">
      <formula>NOT(ISERROR(SEARCH("unknown",G1)))</formula>
    </cfRule>
    <cfRule type="containsText" dxfId="140" priority="56" operator="containsText" text="0-5 years">
      <formula>NOT(ISERROR(SEARCH("0-5 years",G1)))</formula>
    </cfRule>
    <cfRule type="containsText" dxfId="139" priority="55" operator="containsText" text="0-20 years">
      <formula>NOT(ISERROR(SEARCH("0-20 years",G1)))</formula>
    </cfRule>
    <cfRule type="containsText" dxfId="138" priority="54" operator="containsText" text="5-10 years">
      <formula>NOT(ISERROR(SEARCH("5-10 years",G1)))</formula>
    </cfRule>
    <cfRule type="containsText" dxfId="137" priority="53" operator="containsText" text="10-15 years">
      <formula>NOT(ISERROR(SEARCH("10-15 years",G1)))</formula>
    </cfRule>
    <cfRule type="containsText" dxfId="136" priority="52" operator="containsText" text="15-20 years">
      <formula>NOT(ISERROR(SEARCH("15-20 years",G1)))</formula>
    </cfRule>
    <cfRule type="containsText" dxfId="135" priority="50" operator="containsText" text="20+">
      <formula>NOT(ISERROR(SEARCH("20+",G1)))</formula>
    </cfRule>
  </conditionalFormatting>
  <conditionalFormatting sqref="N1:AA1">
    <cfRule type="containsText" dxfId="134" priority="21" operator="containsText" text="0-5 years">
      <formula>NOT(ISERROR(SEARCH("0-5 years",N1)))</formula>
    </cfRule>
    <cfRule type="containsText" dxfId="133" priority="15" operator="containsText" text="20+">
      <formula>NOT(ISERROR(SEARCH("20+",N1)))</formula>
    </cfRule>
    <cfRule type="containsText" dxfId="132" priority="16" operator="containsText" text="unknown">
      <formula>NOT(ISERROR(SEARCH("unknown",N1)))</formula>
    </cfRule>
    <cfRule type="containsText" dxfId="131" priority="17" operator="containsText" text="15-20 years">
      <formula>NOT(ISERROR(SEARCH("15-20 years",N1)))</formula>
    </cfRule>
    <cfRule type="containsText" dxfId="130" priority="18" operator="containsText" text="10-15 years">
      <formula>NOT(ISERROR(SEARCH("10-15 years",N1)))</formula>
    </cfRule>
    <cfRule type="containsText" dxfId="129" priority="19" operator="containsText" text="5-10 years">
      <formula>NOT(ISERROR(SEARCH("5-10 years",N1)))</formula>
    </cfRule>
    <cfRule type="containsText" dxfId="128" priority="20" operator="containsText" text="0-20 years">
      <formula>NOT(ISERROR(SEARCH("0-20 years",N1)))</formula>
    </cfRule>
  </conditionalFormatting>
  <conditionalFormatting sqref="O20">
    <cfRule type="containsText" dxfId="127" priority="88" operator="containsText" text="10-15 years">
      <formula>NOT(ISERROR(SEARCH("10-15 years",O20)))</formula>
    </cfRule>
    <cfRule type="containsText" dxfId="126" priority="91" operator="containsText" text="0-5 years">
      <formula>NOT(ISERROR(SEARCH("0-5 years",O20)))</formula>
    </cfRule>
    <cfRule type="containsText" dxfId="125" priority="90" operator="containsText" text="0-20 years">
      <formula>NOT(ISERROR(SEARCH("0-20 years",O20)))</formula>
    </cfRule>
    <cfRule type="containsText" dxfId="124" priority="89" operator="containsText" text="5-10 years">
      <formula>NOT(ISERROR(SEARCH("5-10 years",O20)))</formula>
    </cfRule>
    <cfRule type="containsText" dxfId="123" priority="87" operator="containsText" text="15-20 years">
      <formula>NOT(ISERROR(SEARCH("15-20 years",O20)))</formula>
    </cfRule>
    <cfRule type="containsText" dxfId="122" priority="86" operator="containsText" text="unknown">
      <formula>NOT(ISERROR(SEARCH("unknown",O20)))</formula>
    </cfRule>
    <cfRule type="containsText" dxfId="121" priority="85" operator="containsText" text="20+">
      <formula>NOT(ISERROR(SEARCH("20+",O20)))</formula>
    </cfRule>
  </conditionalFormatting>
  <conditionalFormatting sqref="O16:AA18">
    <cfRule type="containsText" dxfId="120" priority="9" operator="containsText" text="unknown">
      <formula>NOT(ISERROR(SEARCH("unknown",O16)))</formula>
    </cfRule>
    <cfRule type="containsText" dxfId="119" priority="10" operator="containsText" text="15-20 years">
      <formula>NOT(ISERROR(SEARCH("15-20 years",O16)))</formula>
    </cfRule>
    <cfRule type="containsText" dxfId="118" priority="12" operator="containsText" text="5-10 years">
      <formula>NOT(ISERROR(SEARCH("5-10 years",O16)))</formula>
    </cfRule>
    <cfRule type="containsText" dxfId="117" priority="13" operator="containsText" text="0-20 years">
      <formula>NOT(ISERROR(SEARCH("0-20 years",O16)))</formula>
    </cfRule>
    <cfRule type="containsText" dxfId="116" priority="14" operator="containsText" text="0-5 years">
      <formula>NOT(ISERROR(SEARCH("0-5 years",O16)))</formula>
    </cfRule>
    <cfRule type="containsText" dxfId="115" priority="11" operator="containsText" text="10-15 years">
      <formula>NOT(ISERROR(SEARCH("10-15 years",O16)))</formula>
    </cfRule>
    <cfRule type="containsText" dxfId="114" priority="8" operator="containsText" text="20+">
      <formula>NOT(ISERROR(SEARCH("20+",O16)))</formula>
    </cfRule>
  </conditionalFormatting>
  <conditionalFormatting sqref="P6:T9 O10 R14:T14">
    <cfRule type="containsText" dxfId="113" priority="109" operator="containsText" text="10-15 years">
      <formula>NOT(ISERROR(SEARCH("10-15 years",O6)))</formula>
    </cfRule>
    <cfRule type="containsText" dxfId="112" priority="106" operator="containsText" text="20+">
      <formula>NOT(ISERROR(SEARCH("20+",O6)))</formula>
    </cfRule>
    <cfRule type="containsText" dxfId="111" priority="107" operator="containsText" text="unknown">
      <formula>NOT(ISERROR(SEARCH("unknown",O6)))</formula>
    </cfRule>
    <cfRule type="containsText" dxfId="110" priority="108" operator="containsText" text="15-20 years">
      <formula>NOT(ISERROR(SEARCH("15-20 years",O6)))</formula>
    </cfRule>
    <cfRule type="containsText" dxfId="109" priority="110" operator="containsText" text="5-10 years">
      <formula>NOT(ISERROR(SEARCH("5-10 years",O6)))</formula>
    </cfRule>
    <cfRule type="containsText" dxfId="108" priority="111" operator="containsText" text="0-20 years">
      <formula>NOT(ISERROR(SEARCH("0-20 years",O6)))</formula>
    </cfRule>
    <cfRule type="containsText" dxfId="107" priority="112" operator="containsText" text="0-5 years">
      <formula>NOT(ISERROR(SEARCH("0-5 years",O6)))</formula>
    </cfRule>
  </conditionalFormatting>
  <conditionalFormatting sqref="Q20:U20">
    <cfRule type="containsText" dxfId="106" priority="30" operator="containsText" text="unknown">
      <formula>NOT(ISERROR(SEARCH("unknown",Q20)))</formula>
    </cfRule>
    <cfRule type="containsText" dxfId="105" priority="29" operator="containsText" text="20+">
      <formula>NOT(ISERROR(SEARCH("20+",Q20)))</formula>
    </cfRule>
    <cfRule type="containsText" dxfId="104" priority="35" operator="containsText" text="0-5 years">
      <formula>NOT(ISERROR(SEARCH("0-5 years",Q20)))</formula>
    </cfRule>
    <cfRule type="containsText" dxfId="103" priority="33" operator="containsText" text="5-10 years">
      <formula>NOT(ISERROR(SEARCH("5-10 years",Q20)))</formula>
    </cfRule>
    <cfRule type="containsText" dxfId="102" priority="32" operator="containsText" text="10-15 years">
      <formula>NOT(ISERROR(SEARCH("10-15 years",Q20)))</formula>
    </cfRule>
    <cfRule type="containsText" dxfId="101" priority="31" operator="containsText" text="15-20 years">
      <formula>NOT(ISERROR(SEARCH("15-20 years",Q20)))</formula>
    </cfRule>
    <cfRule type="containsText" dxfId="100" priority="34" operator="containsText" text="0-20 years">
      <formula>NOT(ISERROR(SEARCH("0-20 years",Q20)))</formula>
    </cfRule>
  </conditionalFormatting>
  <conditionalFormatting sqref="V6:Z9 S10:U10 Y10:Z10 X14:AA14 O21:Z21 O27:AA1048576">
    <cfRule type="containsText" dxfId="99" priority="42" operator="containsText" text="0-5 years">
      <formula>NOT(ISERROR(SEARCH("0-5 years",O6)))</formula>
    </cfRule>
    <cfRule type="containsText" dxfId="98" priority="37" operator="containsText" text="unknown">
      <formula>NOT(ISERROR(SEARCH("unknown",O6)))</formula>
    </cfRule>
    <cfRule type="containsText" dxfId="97" priority="41" operator="containsText" text="0-20 years">
      <formula>NOT(ISERROR(SEARCH("0-20 years",O6)))</formula>
    </cfRule>
    <cfRule type="containsText" dxfId="96" priority="40" operator="containsText" text="5-10 years">
      <formula>NOT(ISERROR(SEARCH("5-10 years",O6)))</formula>
    </cfRule>
    <cfRule type="containsText" dxfId="95" priority="39" operator="containsText" text="10-15 years">
      <formula>NOT(ISERROR(SEARCH("10-15 years",O6)))</formula>
    </cfRule>
    <cfRule type="containsText" dxfId="94" priority="38" operator="containsText" text="15-20 years">
      <formula>NOT(ISERROR(SEARCH("15-20 years",O6)))</formula>
    </cfRule>
    <cfRule type="containsText" dxfId="93" priority="36" operator="containsText" text="20+">
      <formula>NOT(ISERROR(SEARCH("20+",O6)))</formula>
    </cfRule>
  </conditionalFormatting>
  <conditionalFormatting sqref="W20:Z20">
    <cfRule type="containsText" dxfId="92" priority="24" operator="containsText" text="15-20 years">
      <formula>NOT(ISERROR(SEARCH("15-20 years",W20)))</formula>
    </cfRule>
    <cfRule type="containsText" dxfId="91" priority="25" operator="containsText" text="10-15 years">
      <formula>NOT(ISERROR(SEARCH("10-15 years",W20)))</formula>
    </cfRule>
    <cfRule type="containsText" dxfId="90" priority="26" operator="containsText" text="5-10 years">
      <formula>NOT(ISERROR(SEARCH("5-10 years",W20)))</formula>
    </cfRule>
    <cfRule type="containsText" dxfId="89" priority="27" operator="containsText" text="0-20 years">
      <formula>NOT(ISERROR(SEARCH("0-20 years",W20)))</formula>
    </cfRule>
    <cfRule type="containsText" dxfId="88" priority="28" operator="containsText" text="0-5 years">
      <formula>NOT(ISERROR(SEARCH("0-5 years",W20)))</formula>
    </cfRule>
    <cfRule type="containsText" dxfId="87" priority="23" operator="containsText" text="unknown">
      <formula>NOT(ISERROR(SEARCH("unknown",W20)))</formula>
    </cfRule>
    <cfRule type="containsText" dxfId="86" priority="22" operator="containsText" text="20+">
      <formula>NOT(ISERROR(SEARCH("20+",W20)))</formula>
    </cfRule>
  </conditionalFormatting>
  <conditionalFormatting sqref="AA3:AA4">
    <cfRule type="containsText" dxfId="85" priority="61" operator="containsText" text="5-10 years">
      <formula>NOT(ISERROR(SEARCH("5-10 years",AA3)))</formula>
    </cfRule>
    <cfRule type="containsText" dxfId="84" priority="62" operator="containsText" text="0-20 years">
      <formula>NOT(ISERROR(SEARCH("0-20 years",AA3)))</formula>
    </cfRule>
    <cfRule type="containsText" dxfId="83" priority="63" operator="containsText" text="0-5 years">
      <formula>NOT(ISERROR(SEARCH("0-5 years",AA3)))</formula>
    </cfRule>
    <cfRule type="containsText" dxfId="82" priority="58" operator="containsText" text="unknown">
      <formula>NOT(ISERROR(SEARCH("unknown",AA3)))</formula>
    </cfRule>
    <cfRule type="containsText" dxfId="81" priority="57" operator="containsText" text="20+">
      <formula>NOT(ISERROR(SEARCH("20+",AA3)))</formula>
    </cfRule>
    <cfRule type="containsText" dxfId="80" priority="59" operator="containsText" text="15-20 years">
      <formula>NOT(ISERROR(SEARCH("15-20 years",AA3)))</formula>
    </cfRule>
    <cfRule type="containsText" dxfId="79" priority="60" operator="containsText" text="10-15 years">
      <formula>NOT(ISERROR(SEARCH("10-15 years",AA3)))</formula>
    </cfRule>
  </conditionalFormatting>
  <conditionalFormatting sqref="AA6:AA11">
    <cfRule type="containsText" dxfId="78" priority="7" operator="containsText" text="0-5 years">
      <formula>NOT(ISERROR(SEARCH("0-5 years",AA6)))</formula>
    </cfRule>
    <cfRule type="containsText" dxfId="77" priority="6" operator="containsText" text="0-20 years">
      <formula>NOT(ISERROR(SEARCH("0-20 years",AA6)))</formula>
    </cfRule>
    <cfRule type="containsText" dxfId="76" priority="5" operator="containsText" text="5-10 years">
      <formula>NOT(ISERROR(SEARCH("5-10 years",AA6)))</formula>
    </cfRule>
    <cfRule type="containsText" dxfId="75" priority="4" operator="containsText" text="10-15 years">
      <formula>NOT(ISERROR(SEARCH("10-15 years",AA6)))</formula>
    </cfRule>
    <cfRule type="containsText" dxfId="74" priority="3" operator="containsText" text="15-20 years">
      <formula>NOT(ISERROR(SEARCH("15-20 years",AA6)))</formula>
    </cfRule>
    <cfRule type="containsText" dxfId="73" priority="2" operator="containsText" text="unknown">
      <formula>NOT(ISERROR(SEARCH("unknown",AA6)))</formula>
    </cfRule>
    <cfRule type="containsText" dxfId="72" priority="1" operator="containsText" text="20+">
      <formula>NOT(ISERROR(SEARCH("20+",AA6)))</formula>
    </cfRule>
  </conditionalFormatting>
  <conditionalFormatting sqref="AA20:AA21">
    <cfRule type="containsText" dxfId="71" priority="102" operator="containsText" text="10-15 years">
      <formula>NOT(ISERROR(SEARCH("10-15 years",AA20)))</formula>
    </cfRule>
    <cfRule type="containsText" dxfId="70" priority="104" operator="containsText" text="0-20 years">
      <formula>NOT(ISERROR(SEARCH("0-20 years",AA20)))</formula>
    </cfRule>
    <cfRule type="containsText" dxfId="69" priority="103" operator="containsText" text="5-10 years">
      <formula>NOT(ISERROR(SEARCH("5-10 years",AA20)))</formula>
    </cfRule>
    <cfRule type="containsText" dxfId="68" priority="99" operator="containsText" text="20+">
      <formula>NOT(ISERROR(SEARCH("20+",AA20)))</formula>
    </cfRule>
    <cfRule type="containsText" dxfId="67" priority="100" operator="containsText" text="unknown">
      <formula>NOT(ISERROR(SEARCH("unknown",AA20)))</formula>
    </cfRule>
    <cfRule type="containsText" dxfId="66" priority="101" operator="containsText" text="15-20 years">
      <formula>NOT(ISERROR(SEARCH("15-20 years",AA20)))</formula>
    </cfRule>
    <cfRule type="containsText" dxfId="65" priority="105" operator="containsText" text="0-5 years">
      <formula>NOT(ISERROR(SEARCH("0-5 years",AA20)))</formula>
    </cfRule>
  </conditionalFormatting>
  <pageMargins left="0.7" right="0.7" top="0.75" bottom="0.75" header="0.3" footer="0.3"/>
  <pageSetup paperSize="8" scale="2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59999389629810485"/>
    <pageSetUpPr autoPageBreaks="0"/>
  </sheetPr>
  <dimension ref="A1:BM104"/>
  <sheetViews>
    <sheetView showGridLines="0" view="pageBreakPreview" zoomScale="60" zoomScaleNormal="60" workbookViewId="0">
      <pane ySplit="4" topLeftCell="A5" activePane="bottomLeft" state="frozen"/>
      <selection activeCell="AA20" sqref="AA20"/>
      <selection pane="bottomLeft" activeCell="B1" sqref="B1:AF1"/>
    </sheetView>
  </sheetViews>
  <sheetFormatPr defaultColWidth="8.90625" defaultRowHeight="16.5" x14ac:dyDescent="0.35"/>
  <cols>
    <col min="1" max="1" width="3.90625" style="758" customWidth="1"/>
    <col min="2" max="2" width="10.90625" style="761" customWidth="1"/>
    <col min="3" max="3" width="45.90625" style="761" customWidth="1"/>
    <col min="4" max="4" width="20.90625" style="761" customWidth="1"/>
    <col min="5" max="5" width="12.90625" style="793" customWidth="1"/>
    <col min="6" max="14" width="7.90625" style="793" customWidth="1"/>
    <col min="15" max="15" width="20.90625" style="793" customWidth="1"/>
    <col min="16" max="16" width="30.90625" style="761" customWidth="1"/>
    <col min="17" max="18" width="20.90625" style="793" customWidth="1"/>
    <col min="19" max="19" width="30.90625" style="761" customWidth="1"/>
    <col min="20" max="20" width="20.90625" style="761" customWidth="1"/>
    <col min="21" max="21" width="20.90625" style="793" customWidth="1"/>
    <col min="22" max="22" width="30.90625" style="793" customWidth="1"/>
    <col min="23" max="24" width="20.90625" style="793" customWidth="1"/>
    <col min="25" max="25" width="30.90625" style="793" customWidth="1"/>
    <col min="26" max="26" width="20.90625" style="761" customWidth="1"/>
    <col min="27" max="28" width="20.90625" style="793" customWidth="1"/>
    <col min="29" max="29" width="30.90625" style="793" customWidth="1"/>
    <col min="30" max="30" width="20.90625" style="761" customWidth="1"/>
    <col min="31" max="31" width="20.90625" style="793" customWidth="1"/>
    <col min="32" max="32" width="30.90625" style="761" customWidth="1"/>
    <col min="33" max="34" width="3.90625" style="758" customWidth="1"/>
    <col min="35" max="35" width="10.90625" style="761" customWidth="1"/>
    <col min="36" max="36" width="45.90625" style="761" customWidth="1"/>
    <col min="37" max="37" width="20.90625" style="761" customWidth="1"/>
    <col min="38" max="38" width="20.90625" style="1071" customWidth="1"/>
    <col min="39" max="57" width="20.90625" style="761" customWidth="1"/>
    <col min="58" max="58" width="20.90625" style="1071" customWidth="1"/>
    <col min="59" max="60" width="20.90625" style="761" customWidth="1"/>
    <col min="61" max="61" width="3.90625" style="758" customWidth="1"/>
    <col min="62" max="62" width="25.90625" style="761" customWidth="1"/>
    <col min="63" max="64" width="50.90625" style="761" customWidth="1"/>
    <col min="65" max="16384" width="8.90625" style="761"/>
  </cols>
  <sheetData>
    <row r="1" spans="1:65" ht="39.9" customHeight="1" x14ac:dyDescent="0.35">
      <c r="A1" s="757"/>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59"/>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59"/>
      <c r="BJ1" s="760"/>
      <c r="BK1" s="760"/>
      <c r="BL1" s="760"/>
      <c r="BM1" s="760"/>
    </row>
    <row r="2" spans="1:65" s="758" customFormat="1" ht="15" customHeight="1" thickBot="1" x14ac:dyDescent="0.4">
      <c r="B2" s="1072" t="s">
        <v>449</v>
      </c>
      <c r="C2" s="1072" t="s">
        <v>450</v>
      </c>
      <c r="D2" s="1072" t="s">
        <v>451</v>
      </c>
      <c r="E2" s="1072" t="s">
        <v>452</v>
      </c>
      <c r="F2" s="1467" t="s">
        <v>453</v>
      </c>
      <c r="G2" s="1468"/>
      <c r="H2" s="1468"/>
      <c r="I2" s="1468"/>
      <c r="J2" s="1468"/>
      <c r="K2" s="1468"/>
      <c r="L2" s="1468"/>
      <c r="M2" s="1468"/>
      <c r="N2" s="1469"/>
      <c r="O2" s="1072" t="s">
        <v>454</v>
      </c>
      <c r="P2" s="1072" t="s">
        <v>455</v>
      </c>
      <c r="Q2" s="1072" t="s">
        <v>456</v>
      </c>
      <c r="R2" s="1072"/>
      <c r="S2" s="1072" t="s">
        <v>457</v>
      </c>
      <c r="T2" s="1072" t="s">
        <v>458</v>
      </c>
      <c r="U2" s="1072" t="s">
        <v>459</v>
      </c>
      <c r="V2" s="1072" t="s">
        <v>460</v>
      </c>
      <c r="W2" s="1072" t="s">
        <v>461</v>
      </c>
      <c r="X2" s="1072" t="s">
        <v>242</v>
      </c>
      <c r="Y2" s="1072" t="s">
        <v>462</v>
      </c>
      <c r="Z2" s="1072" t="s">
        <v>463</v>
      </c>
      <c r="AA2" s="1072" t="s">
        <v>464</v>
      </c>
      <c r="AB2" s="1072" t="s">
        <v>465</v>
      </c>
      <c r="AC2" s="1072" t="s">
        <v>466</v>
      </c>
      <c r="AD2" s="1072" t="s">
        <v>467</v>
      </c>
      <c r="AE2" s="1072" t="s">
        <v>468</v>
      </c>
      <c r="AF2" s="1072" t="s">
        <v>469</v>
      </c>
      <c r="AG2" s="1140"/>
      <c r="AH2" s="1141"/>
      <c r="AI2" s="1072" t="s">
        <v>449</v>
      </c>
      <c r="AJ2" s="1072" t="s">
        <v>450</v>
      </c>
      <c r="AK2" s="1072" t="s">
        <v>471</v>
      </c>
      <c r="AL2" s="1073" t="s">
        <v>472</v>
      </c>
      <c r="AM2" s="1072" t="s">
        <v>473</v>
      </c>
      <c r="AN2" s="1072" t="s">
        <v>474</v>
      </c>
      <c r="AO2" s="1072" t="s">
        <v>475</v>
      </c>
      <c r="AP2" s="1072" t="s">
        <v>476</v>
      </c>
      <c r="AQ2" s="1072" t="s">
        <v>477</v>
      </c>
      <c r="AR2" s="1072" t="s">
        <v>478</v>
      </c>
      <c r="AS2" s="1072" t="s">
        <v>479</v>
      </c>
      <c r="AT2" s="1072" t="s">
        <v>480</v>
      </c>
      <c r="AU2" s="1072" t="s">
        <v>481</v>
      </c>
      <c r="AV2" s="1072" t="s">
        <v>482</v>
      </c>
      <c r="AW2" s="1072" t="s">
        <v>483</v>
      </c>
      <c r="AX2" s="1072" t="s">
        <v>484</v>
      </c>
      <c r="AY2" s="1072" t="s">
        <v>485</v>
      </c>
      <c r="AZ2" s="1072" t="s">
        <v>486</v>
      </c>
      <c r="BA2" s="1072" t="s">
        <v>487</v>
      </c>
      <c r="BB2" s="1072" t="s">
        <v>488</v>
      </c>
      <c r="BC2" s="1072" t="s">
        <v>489</v>
      </c>
      <c r="BD2" s="1072" t="s">
        <v>490</v>
      </c>
      <c r="BE2" s="1072" t="s">
        <v>491</v>
      </c>
      <c r="BF2" s="1073" t="s">
        <v>492</v>
      </c>
      <c r="BG2" s="1072" t="s">
        <v>493</v>
      </c>
      <c r="BH2" s="1072" t="s">
        <v>494</v>
      </c>
    </row>
    <row r="3" spans="1:65" ht="99.9" customHeight="1" thickTop="1" x14ac:dyDescent="0.35">
      <c r="B3" s="1392" t="s">
        <v>2231</v>
      </c>
      <c r="C3" s="768"/>
      <c r="D3" s="1385" t="s">
        <v>495</v>
      </c>
      <c r="E3" s="1394" t="s">
        <v>496</v>
      </c>
      <c r="F3" s="1396" t="s">
        <v>219</v>
      </c>
      <c r="G3" s="1396"/>
      <c r="H3" s="1396"/>
      <c r="I3" s="1396"/>
      <c r="J3" s="1396"/>
      <c r="K3" s="1396"/>
      <c r="L3" s="1396"/>
      <c r="M3" s="1396"/>
      <c r="N3" s="1396"/>
      <c r="O3" s="1385" t="s">
        <v>214</v>
      </c>
      <c r="P3" s="1400" t="s">
        <v>497</v>
      </c>
      <c r="Q3" s="1385" t="s">
        <v>498</v>
      </c>
      <c r="R3" s="1321" t="s">
        <v>2233</v>
      </c>
      <c r="S3" s="1391" t="s">
        <v>499</v>
      </c>
      <c r="T3" s="1388" t="s">
        <v>501</v>
      </c>
      <c r="U3" s="1390" t="s">
        <v>2</v>
      </c>
      <c r="V3" s="1391" t="s">
        <v>500</v>
      </c>
      <c r="W3" s="1552" t="s">
        <v>1898</v>
      </c>
      <c r="X3" s="1553" t="s">
        <v>503</v>
      </c>
      <c r="Y3" s="1385" t="s">
        <v>504</v>
      </c>
      <c r="Z3" s="1388" t="s">
        <v>505</v>
      </c>
      <c r="AA3" s="1552" t="s">
        <v>506</v>
      </c>
      <c r="AB3" s="1553" t="s">
        <v>1575</v>
      </c>
      <c r="AC3" s="1385" t="s">
        <v>504</v>
      </c>
      <c r="AD3" s="1388" t="s">
        <v>505</v>
      </c>
      <c r="AE3" s="1494" t="s">
        <v>508</v>
      </c>
      <c r="AF3" s="1497" t="s">
        <v>509</v>
      </c>
      <c r="AG3" s="769"/>
      <c r="AH3" s="770"/>
      <c r="AI3" s="1523" t="s">
        <v>2231</v>
      </c>
      <c r="AJ3" s="771"/>
      <c r="AK3" s="772" t="s">
        <v>2234</v>
      </c>
      <c r="AL3" s="773" t="s">
        <v>2235</v>
      </c>
      <c r="AM3" s="773" t="s">
        <v>2236</v>
      </c>
      <c r="AN3" s="773" t="s">
        <v>2237</v>
      </c>
      <c r="AO3" s="773" t="s">
        <v>2238</v>
      </c>
      <c r="AP3" s="773" t="s">
        <v>2239</v>
      </c>
      <c r="AQ3" s="774" t="s">
        <v>2240</v>
      </c>
      <c r="AR3" s="775" t="s">
        <v>2241</v>
      </c>
      <c r="AS3" s="773" t="s">
        <v>2242</v>
      </c>
      <c r="AT3" s="773" t="s">
        <v>2243</v>
      </c>
      <c r="AU3" s="773" t="s">
        <v>2244</v>
      </c>
      <c r="AV3" s="773" t="s">
        <v>2245</v>
      </c>
      <c r="AW3" s="773" t="s">
        <v>2246</v>
      </c>
      <c r="AX3" s="773" t="s">
        <v>2247</v>
      </c>
      <c r="AY3" s="773" t="s">
        <v>2248</v>
      </c>
      <c r="AZ3" s="773" t="s">
        <v>2249</v>
      </c>
      <c r="BA3" s="773" t="s">
        <v>2250</v>
      </c>
      <c r="BB3" s="773" t="s">
        <v>2251</v>
      </c>
      <c r="BC3" s="773" t="s">
        <v>2252</v>
      </c>
      <c r="BD3" s="773" t="s">
        <v>2253</v>
      </c>
      <c r="BE3" s="774" t="s">
        <v>2254</v>
      </c>
      <c r="BF3" s="775" t="s">
        <v>2255</v>
      </c>
      <c r="BG3" s="1398" t="s">
        <v>41</v>
      </c>
      <c r="BH3" s="1382" t="s">
        <v>42</v>
      </c>
      <c r="BI3" s="769"/>
      <c r="BJ3" s="777"/>
      <c r="BK3" s="778"/>
      <c r="BL3" s="778"/>
    </row>
    <row r="4" spans="1:65" s="793" customFormat="1" ht="92.4" customHeight="1" x14ac:dyDescent="0.35">
      <c r="A4" s="880"/>
      <c r="B4" s="1393"/>
      <c r="C4" s="780" t="s">
        <v>1899</v>
      </c>
      <c r="D4" s="1286"/>
      <c r="E4" s="1395"/>
      <c r="F4" s="333" t="s">
        <v>512</v>
      </c>
      <c r="G4" s="333" t="s">
        <v>513</v>
      </c>
      <c r="H4" s="333" t="s">
        <v>514</v>
      </c>
      <c r="I4" s="333" t="s">
        <v>515</v>
      </c>
      <c r="J4" s="333" t="s">
        <v>516</v>
      </c>
      <c r="K4" s="333" t="s">
        <v>517</v>
      </c>
      <c r="L4" s="333" t="s">
        <v>518</v>
      </c>
      <c r="M4" s="333" t="s">
        <v>519</v>
      </c>
      <c r="N4" s="333" t="s">
        <v>520</v>
      </c>
      <c r="O4" s="1397"/>
      <c r="P4" s="1401"/>
      <c r="Q4" s="1286"/>
      <c r="R4" s="1322"/>
      <c r="S4" s="1241"/>
      <c r="T4" s="1288"/>
      <c r="U4" s="1320"/>
      <c r="V4" s="1241"/>
      <c r="W4" s="1529"/>
      <c r="X4" s="1539"/>
      <c r="Y4" s="1286"/>
      <c r="Z4" s="1288"/>
      <c r="AA4" s="1529"/>
      <c r="AB4" s="1539"/>
      <c r="AC4" s="1286"/>
      <c r="AD4" s="1288"/>
      <c r="AE4" s="1249"/>
      <c r="AF4" s="1498"/>
      <c r="AG4" s="781"/>
      <c r="AH4" s="782"/>
      <c r="AI4" s="1397"/>
      <c r="AJ4" s="783" t="s">
        <v>1899</v>
      </c>
      <c r="AK4" s="784">
        <v>8500</v>
      </c>
      <c r="AL4" s="785">
        <v>1500</v>
      </c>
      <c r="AM4" s="785">
        <v>2600</v>
      </c>
      <c r="AN4" s="786">
        <v>750</v>
      </c>
      <c r="AO4" s="786" t="s">
        <v>48</v>
      </c>
      <c r="AP4" s="785">
        <v>2100</v>
      </c>
      <c r="AQ4" s="787">
        <v>1050</v>
      </c>
      <c r="AR4" s="788">
        <v>550</v>
      </c>
      <c r="AS4" s="786">
        <v>70</v>
      </c>
      <c r="AT4" s="786">
        <v>30</v>
      </c>
      <c r="AU4" s="786">
        <v>35</v>
      </c>
      <c r="AV4" s="786">
        <v>35</v>
      </c>
      <c r="AW4" s="786">
        <v>20</v>
      </c>
      <c r="AX4" s="786">
        <v>16</v>
      </c>
      <c r="AY4" s="786">
        <v>15</v>
      </c>
      <c r="AZ4" s="786">
        <v>13</v>
      </c>
      <c r="BA4" s="786">
        <v>10</v>
      </c>
      <c r="BB4" s="786">
        <v>10</v>
      </c>
      <c r="BC4" s="786">
        <v>10</v>
      </c>
      <c r="BD4" s="786">
        <v>10</v>
      </c>
      <c r="BE4" s="789">
        <v>10</v>
      </c>
      <c r="BF4" s="790">
        <v>2120</v>
      </c>
      <c r="BG4" s="1399"/>
      <c r="BH4" s="1383"/>
      <c r="BI4" s="781"/>
      <c r="BJ4" s="791"/>
      <c r="BK4" s="792"/>
      <c r="BL4" s="792"/>
    </row>
    <row r="5" spans="1:65" ht="17.25" customHeight="1" x14ac:dyDescent="0.35">
      <c r="B5" s="795"/>
      <c r="C5" s="796" t="s">
        <v>521</v>
      </c>
      <c r="D5" s="302"/>
      <c r="E5" s="303"/>
      <c r="F5" s="303"/>
      <c r="G5" s="303"/>
      <c r="H5" s="303"/>
      <c r="I5" s="303"/>
      <c r="J5" s="303"/>
      <c r="K5" s="303"/>
      <c r="L5" s="303"/>
      <c r="M5" s="303"/>
      <c r="N5" s="307"/>
      <c r="O5" s="303"/>
      <c r="P5" s="302"/>
      <c r="Q5" s="305"/>
      <c r="R5" s="305"/>
      <c r="S5" s="306"/>
      <c r="T5" s="804"/>
      <c r="U5" s="305"/>
      <c r="V5" s="305"/>
      <c r="W5" s="506"/>
      <c r="X5" s="584"/>
      <c r="Y5" s="803"/>
      <c r="Z5" s="804"/>
      <c r="AA5" s="1157"/>
      <c r="AB5" s="584"/>
      <c r="AC5" s="803"/>
      <c r="AD5" s="804"/>
      <c r="AE5" s="302"/>
      <c r="AF5" s="1157"/>
      <c r="AG5" s="769"/>
      <c r="AH5" s="770"/>
      <c r="AI5" s="1158"/>
      <c r="AJ5" s="801" t="s">
        <v>521</v>
      </c>
      <c r="AK5" s="802"/>
      <c r="AL5" s="803"/>
      <c r="AM5" s="803"/>
      <c r="AN5" s="803"/>
      <c r="AO5" s="803"/>
      <c r="AP5" s="803"/>
      <c r="AQ5" s="804"/>
      <c r="AR5" s="805"/>
      <c r="AS5" s="803"/>
      <c r="AT5" s="803"/>
      <c r="AU5" s="803"/>
      <c r="AV5" s="803"/>
      <c r="AW5" s="803"/>
      <c r="AX5" s="803"/>
      <c r="AY5" s="803"/>
      <c r="AZ5" s="803"/>
      <c r="BA5" s="803"/>
      <c r="BB5" s="803"/>
      <c r="BC5" s="305"/>
      <c r="BD5" s="803"/>
      <c r="BE5" s="1157"/>
      <c r="BF5" s="1170"/>
      <c r="BG5" s="305"/>
      <c r="BH5" s="570"/>
      <c r="BI5" s="769"/>
    </row>
    <row r="6" spans="1:65" ht="125.15" customHeight="1" x14ac:dyDescent="0.35">
      <c r="A6" s="1459">
        <v>1</v>
      </c>
      <c r="B6" s="1418" t="s">
        <v>1900</v>
      </c>
      <c r="C6" s="1420" t="s">
        <v>1901</v>
      </c>
      <c r="D6" s="1422"/>
      <c r="E6" s="1374" t="s">
        <v>524</v>
      </c>
      <c r="F6" s="808"/>
      <c r="G6" s="809"/>
      <c r="H6" s="809"/>
      <c r="I6" s="809"/>
      <c r="J6" s="810"/>
      <c r="K6" s="809"/>
      <c r="L6" s="809"/>
      <c r="M6" s="809"/>
      <c r="N6" s="811"/>
      <c r="O6" s="1422" t="s">
        <v>525</v>
      </c>
      <c r="P6" s="1422" t="s">
        <v>526</v>
      </c>
      <c r="Q6" s="324" t="s">
        <v>527</v>
      </c>
      <c r="R6" s="324"/>
      <c r="S6" s="1424" t="s">
        <v>528</v>
      </c>
      <c r="T6" s="551"/>
      <c r="U6" s="324"/>
      <c r="V6" s="1424"/>
      <c r="W6" s="551"/>
      <c r="X6" s="589" t="s">
        <v>527</v>
      </c>
      <c r="Y6" s="324"/>
      <c r="Z6" s="551"/>
      <c r="AA6" s="1202"/>
      <c r="AB6" s="834" t="s">
        <v>527</v>
      </c>
      <c r="AC6" s="324"/>
      <c r="AD6" s="551"/>
      <c r="AE6" s="1424"/>
      <c r="AF6" s="1476"/>
      <c r="AG6" s="1309">
        <v>1</v>
      </c>
      <c r="AH6" s="1275">
        <v>1</v>
      </c>
      <c r="AI6" s="1524" t="s">
        <v>1900</v>
      </c>
      <c r="AJ6" s="1428" t="s">
        <v>1901</v>
      </c>
      <c r="AK6" s="600" t="s">
        <v>527</v>
      </c>
      <c r="AL6" s="569" t="s">
        <v>527</v>
      </c>
      <c r="AM6" s="569" t="s">
        <v>527</v>
      </c>
      <c r="AN6" s="569" t="s">
        <v>527</v>
      </c>
      <c r="AO6" s="569" t="s">
        <v>527</v>
      </c>
      <c r="AP6" s="569" t="s">
        <v>527</v>
      </c>
      <c r="AQ6" s="643" t="s">
        <v>527</v>
      </c>
      <c r="AR6" s="589" t="s">
        <v>527</v>
      </c>
      <c r="AS6" s="569" t="s">
        <v>527</v>
      </c>
      <c r="AT6" s="569" t="s">
        <v>527</v>
      </c>
      <c r="AU6" s="569" t="s">
        <v>527</v>
      </c>
      <c r="AV6" s="569" t="s">
        <v>527</v>
      </c>
      <c r="AW6" s="569" t="s">
        <v>527</v>
      </c>
      <c r="AX6" s="569" t="s">
        <v>527</v>
      </c>
      <c r="AY6" s="569" t="s">
        <v>527</v>
      </c>
      <c r="AZ6" s="569" t="s">
        <v>527</v>
      </c>
      <c r="BA6" s="569" t="s">
        <v>527</v>
      </c>
      <c r="BB6" s="569" t="s">
        <v>527</v>
      </c>
      <c r="BC6" s="569" t="s">
        <v>527</v>
      </c>
      <c r="BD6" s="569" t="s">
        <v>527</v>
      </c>
      <c r="BE6" s="643" t="s">
        <v>527</v>
      </c>
      <c r="BF6" s="834" t="s">
        <v>527</v>
      </c>
      <c r="BG6" s="569" t="s">
        <v>527</v>
      </c>
      <c r="BH6" s="1306"/>
      <c r="BI6" s="1432">
        <v>1</v>
      </c>
    </row>
    <row r="7" spans="1:65" ht="125.15" customHeight="1" x14ac:dyDescent="0.35">
      <c r="A7" s="1460"/>
      <c r="B7" s="1419"/>
      <c r="C7" s="1421"/>
      <c r="D7" s="1423"/>
      <c r="E7" s="1373"/>
      <c r="F7" s="1415"/>
      <c r="G7" s="1416"/>
      <c r="H7" s="1416"/>
      <c r="I7" s="1416"/>
      <c r="J7" s="1416"/>
      <c r="K7" s="1416"/>
      <c r="L7" s="1416"/>
      <c r="M7" s="1416"/>
      <c r="N7" s="1417"/>
      <c r="O7" s="1423"/>
      <c r="P7" s="1423"/>
      <c r="Q7" s="456"/>
      <c r="R7" s="456"/>
      <c r="S7" s="1425"/>
      <c r="T7" s="487"/>
      <c r="U7" s="326"/>
      <c r="V7" s="1425"/>
      <c r="W7" s="487"/>
      <c r="X7" s="599"/>
      <c r="Y7" s="456"/>
      <c r="Z7" s="487"/>
      <c r="AA7" s="816"/>
      <c r="AB7" s="599"/>
      <c r="AC7" s="456"/>
      <c r="AD7" s="487"/>
      <c r="AE7" s="1425"/>
      <c r="AF7" s="1477"/>
      <c r="AG7" s="1310"/>
      <c r="AH7" s="1276"/>
      <c r="AI7" s="1525"/>
      <c r="AJ7" s="1429"/>
      <c r="AK7" s="696"/>
      <c r="AL7" s="564"/>
      <c r="AM7" s="564"/>
      <c r="AN7" s="564"/>
      <c r="AO7" s="663"/>
      <c r="AP7" s="663"/>
      <c r="AQ7" s="711"/>
      <c r="AR7" s="585"/>
      <c r="AS7" s="663"/>
      <c r="AT7" s="663"/>
      <c r="AU7" s="663"/>
      <c r="AV7" s="663"/>
      <c r="AW7" s="663"/>
      <c r="AX7" s="663"/>
      <c r="AY7" s="663"/>
      <c r="AZ7" s="663"/>
      <c r="BA7" s="663"/>
      <c r="BB7" s="663"/>
      <c r="BC7" s="663"/>
      <c r="BD7" s="663"/>
      <c r="BE7" s="711"/>
      <c r="BF7" s="1220"/>
      <c r="BG7" s="663"/>
      <c r="BH7" s="1307"/>
      <c r="BI7" s="1433"/>
    </row>
    <row r="8" spans="1:65" ht="17.25" customHeight="1" x14ac:dyDescent="0.35">
      <c r="A8" s="1204"/>
      <c r="B8" s="795"/>
      <c r="C8" s="796" t="s">
        <v>1902</v>
      </c>
      <c r="D8" s="302"/>
      <c r="E8" s="303"/>
      <c r="F8" s="303"/>
      <c r="G8" s="303"/>
      <c r="H8" s="303"/>
      <c r="I8" s="303"/>
      <c r="J8" s="303"/>
      <c r="K8" s="303"/>
      <c r="L8" s="303"/>
      <c r="M8" s="303"/>
      <c r="N8" s="307"/>
      <c r="O8" s="303"/>
      <c r="P8" s="302"/>
      <c r="Q8" s="305"/>
      <c r="R8" s="305"/>
      <c r="S8" s="306"/>
      <c r="T8" s="560"/>
      <c r="U8" s="305"/>
      <c r="V8" s="305"/>
      <c r="W8" s="506"/>
      <c r="X8" s="584"/>
      <c r="Y8" s="307"/>
      <c r="Z8" s="560"/>
      <c r="AA8" s="506"/>
      <c r="AB8" s="584"/>
      <c r="AC8" s="307"/>
      <c r="AD8" s="560"/>
      <c r="AE8" s="305"/>
      <c r="AF8" s="1157"/>
      <c r="AG8" s="1078"/>
      <c r="AH8" s="1079"/>
      <c r="AI8" s="1158"/>
      <c r="AJ8" s="801" t="s">
        <v>1902</v>
      </c>
      <c r="AK8" s="802"/>
      <c r="AL8" s="803"/>
      <c r="AM8" s="804"/>
      <c r="AN8" s="803"/>
      <c r="AO8" s="803"/>
      <c r="AP8" s="803"/>
      <c r="AQ8" s="804"/>
      <c r="AR8" s="805"/>
      <c r="AS8" s="803"/>
      <c r="AT8" s="803"/>
      <c r="AU8" s="803"/>
      <c r="AV8" s="803"/>
      <c r="AW8" s="803"/>
      <c r="AX8" s="803"/>
      <c r="AY8" s="803"/>
      <c r="AZ8" s="803"/>
      <c r="BA8" s="803"/>
      <c r="BB8" s="803"/>
      <c r="BC8" s="803"/>
      <c r="BD8" s="803"/>
      <c r="BE8" s="804"/>
      <c r="BF8" s="805"/>
      <c r="BG8" s="302"/>
      <c r="BH8" s="570"/>
      <c r="BI8" s="1080"/>
      <c r="BJ8" s="823"/>
      <c r="BK8" s="807"/>
      <c r="BL8" s="807"/>
    </row>
    <row r="9" spans="1:65" ht="125.15" customHeight="1" x14ac:dyDescent="0.35">
      <c r="A9" s="1459">
        <v>2</v>
      </c>
      <c r="B9" s="1358" t="s">
        <v>1903</v>
      </c>
      <c r="C9" s="1281" t="s">
        <v>1904</v>
      </c>
      <c r="D9" s="1281" t="s">
        <v>1905</v>
      </c>
      <c r="E9" s="1470"/>
      <c r="F9" s="1081"/>
      <c r="G9" s="826"/>
      <c r="H9" s="826"/>
      <c r="I9" s="826"/>
      <c r="J9" s="827"/>
      <c r="K9" s="826"/>
      <c r="L9" s="826"/>
      <c r="M9" s="826"/>
      <c r="N9" s="828"/>
      <c r="O9" s="1281" t="s">
        <v>1906</v>
      </c>
      <c r="P9" s="1281" t="s">
        <v>1907</v>
      </c>
      <c r="Q9" s="331"/>
      <c r="R9" s="331"/>
      <c r="S9" s="1268"/>
      <c r="T9" s="1311"/>
      <c r="U9" s="329"/>
      <c r="V9" s="1268"/>
      <c r="W9" s="489"/>
      <c r="X9" s="582" t="s">
        <v>1908</v>
      </c>
      <c r="Y9" s="1281" t="s">
        <v>1907</v>
      </c>
      <c r="Z9" s="1311"/>
      <c r="AA9" s="489"/>
      <c r="AB9" s="582" t="s">
        <v>1908</v>
      </c>
      <c r="AC9" s="1281"/>
      <c r="AD9" s="1311"/>
      <c r="AE9" s="329"/>
      <c r="AF9" s="1279"/>
      <c r="AG9" s="1309">
        <v>2</v>
      </c>
      <c r="AH9" s="1275">
        <v>2</v>
      </c>
      <c r="AI9" s="1526" t="s">
        <v>1903</v>
      </c>
      <c r="AJ9" s="1293" t="s">
        <v>1904</v>
      </c>
      <c r="AK9" s="691" t="s">
        <v>1908</v>
      </c>
      <c r="AL9" s="563" t="s">
        <v>1908</v>
      </c>
      <c r="AM9" s="563" t="s">
        <v>1908</v>
      </c>
      <c r="AN9" s="563" t="s">
        <v>1908</v>
      </c>
      <c r="AO9" s="563" t="s">
        <v>1908</v>
      </c>
      <c r="AP9" s="563" t="s">
        <v>1908</v>
      </c>
      <c r="AQ9" s="698" t="s">
        <v>1908</v>
      </c>
      <c r="AR9" s="582" t="s">
        <v>1908</v>
      </c>
      <c r="AS9" s="563" t="s">
        <v>1908</v>
      </c>
      <c r="AT9" s="563" t="s">
        <v>1908</v>
      </c>
      <c r="AU9" s="563" t="s">
        <v>1908</v>
      </c>
      <c r="AV9" s="563" t="s">
        <v>1908</v>
      </c>
      <c r="AW9" s="563" t="s">
        <v>1908</v>
      </c>
      <c r="AX9" s="563" t="s">
        <v>1908</v>
      </c>
      <c r="AY9" s="563" t="s">
        <v>1908</v>
      </c>
      <c r="AZ9" s="563" t="s">
        <v>1908</v>
      </c>
      <c r="BA9" s="563" t="s">
        <v>1908</v>
      </c>
      <c r="BB9" s="563" t="s">
        <v>1908</v>
      </c>
      <c r="BC9" s="563" t="s">
        <v>1908</v>
      </c>
      <c r="BD9" s="563" t="s">
        <v>1908</v>
      </c>
      <c r="BE9" s="698" t="s">
        <v>1908</v>
      </c>
      <c r="BF9" s="582" t="s">
        <v>1908</v>
      </c>
      <c r="BG9" s="563" t="s">
        <v>1908</v>
      </c>
      <c r="BH9" s="815"/>
      <c r="BI9" s="1432">
        <v>2</v>
      </c>
      <c r="BJ9" s="823"/>
      <c r="BK9" s="1316"/>
      <c r="BL9" s="1323"/>
    </row>
    <row r="10" spans="1:65" ht="125.15" customHeight="1" x14ac:dyDescent="0.35">
      <c r="A10" s="1460"/>
      <c r="B10" s="1359"/>
      <c r="C10" s="1282"/>
      <c r="D10" s="1282"/>
      <c r="E10" s="1471"/>
      <c r="F10" s="1313" t="s">
        <v>1909</v>
      </c>
      <c r="G10" s="1314"/>
      <c r="H10" s="1314"/>
      <c r="I10" s="1314"/>
      <c r="J10" s="1314"/>
      <c r="K10" s="1314"/>
      <c r="L10" s="1314"/>
      <c r="M10" s="1314"/>
      <c r="N10" s="1315"/>
      <c r="O10" s="1282"/>
      <c r="P10" s="1282"/>
      <c r="Q10" s="328"/>
      <c r="R10" s="328"/>
      <c r="S10" s="1270"/>
      <c r="T10" s="1312"/>
      <c r="U10" s="334"/>
      <c r="V10" s="1270"/>
      <c r="W10" s="583"/>
      <c r="X10" s="585"/>
      <c r="Y10" s="1282"/>
      <c r="Z10" s="1312"/>
      <c r="AA10" s="583"/>
      <c r="AB10" s="585"/>
      <c r="AC10" s="1282"/>
      <c r="AD10" s="1312"/>
      <c r="AE10" s="328"/>
      <c r="AF10" s="1308"/>
      <c r="AG10" s="1310"/>
      <c r="AH10" s="1276"/>
      <c r="AI10" s="1527"/>
      <c r="AJ10" s="1295"/>
      <c r="AK10" s="699"/>
      <c r="AL10" s="663"/>
      <c r="AM10" s="663"/>
      <c r="AN10" s="663"/>
      <c r="AO10" s="663"/>
      <c r="AP10" s="663"/>
      <c r="AQ10" s="711"/>
      <c r="AR10" s="585"/>
      <c r="AS10" s="663"/>
      <c r="AT10" s="663"/>
      <c r="AU10" s="663"/>
      <c r="AV10" s="663"/>
      <c r="AW10" s="663"/>
      <c r="AX10" s="663"/>
      <c r="AY10" s="663"/>
      <c r="AZ10" s="663"/>
      <c r="BA10" s="663"/>
      <c r="BB10" s="663"/>
      <c r="BC10" s="663"/>
      <c r="BD10" s="663"/>
      <c r="BE10" s="711"/>
      <c r="BF10" s="585"/>
      <c r="BG10" s="663"/>
      <c r="BH10" s="817"/>
      <c r="BI10" s="1433"/>
      <c r="BJ10" s="823"/>
      <c r="BK10" s="1317"/>
      <c r="BL10" s="1324"/>
    </row>
    <row r="11" spans="1:65" ht="125.15" customHeight="1" x14ac:dyDescent="0.35">
      <c r="A11" s="1459">
        <v>3</v>
      </c>
      <c r="B11" s="1358" t="s">
        <v>2316</v>
      </c>
      <c r="C11" s="1281" t="s">
        <v>1910</v>
      </c>
      <c r="D11" s="1281" t="s">
        <v>1905</v>
      </c>
      <c r="E11" s="1470"/>
      <c r="F11" s="851"/>
      <c r="G11" s="826"/>
      <c r="H11" s="826"/>
      <c r="I11" s="826"/>
      <c r="J11" s="826"/>
      <c r="K11" s="826"/>
      <c r="L11" s="826"/>
      <c r="M11" s="826"/>
      <c r="N11" s="828"/>
      <c r="O11" s="1281" t="s">
        <v>1911</v>
      </c>
      <c r="P11" s="1281" t="s">
        <v>1912</v>
      </c>
      <c r="Q11" s="329"/>
      <c r="R11" s="329"/>
      <c r="S11" s="1268"/>
      <c r="T11" s="1311"/>
      <c r="U11" s="329"/>
      <c r="V11" s="1268"/>
      <c r="W11" s="489"/>
      <c r="X11" s="582" t="s">
        <v>1913</v>
      </c>
      <c r="Y11" s="1281" t="s">
        <v>1912</v>
      </c>
      <c r="Z11" s="1311"/>
      <c r="AA11" s="489"/>
      <c r="AB11" s="582" t="s">
        <v>1913</v>
      </c>
      <c r="AC11" s="1281"/>
      <c r="AD11" s="1311"/>
      <c r="AE11" s="329"/>
      <c r="AF11" s="1480"/>
      <c r="AG11" s="1309">
        <v>3</v>
      </c>
      <c r="AH11" s="1275">
        <v>3</v>
      </c>
      <c r="AI11" s="1526" t="s">
        <v>2316</v>
      </c>
      <c r="AJ11" s="1293" t="s">
        <v>1910</v>
      </c>
      <c r="AK11" s="691" t="s">
        <v>1913</v>
      </c>
      <c r="AL11" s="563" t="s">
        <v>1913</v>
      </c>
      <c r="AM11" s="563" t="s">
        <v>1913</v>
      </c>
      <c r="AN11" s="563" t="s">
        <v>1913</v>
      </c>
      <c r="AO11" s="563" t="s">
        <v>1913</v>
      </c>
      <c r="AP11" s="563" t="s">
        <v>1913</v>
      </c>
      <c r="AQ11" s="698" t="s">
        <v>1913</v>
      </c>
      <c r="AR11" s="582" t="s">
        <v>1913</v>
      </c>
      <c r="AS11" s="563" t="s">
        <v>1913</v>
      </c>
      <c r="AT11" s="563" t="s">
        <v>1913</v>
      </c>
      <c r="AU11" s="563" t="s">
        <v>1913</v>
      </c>
      <c r="AV11" s="563" t="s">
        <v>1913</v>
      </c>
      <c r="AW11" s="563" t="s">
        <v>1913</v>
      </c>
      <c r="AX11" s="563" t="s">
        <v>1913</v>
      </c>
      <c r="AY11" s="563" t="s">
        <v>1913</v>
      </c>
      <c r="AZ11" s="563" t="s">
        <v>1913</v>
      </c>
      <c r="BA11" s="563" t="s">
        <v>1913</v>
      </c>
      <c r="BB11" s="563" t="s">
        <v>1913</v>
      </c>
      <c r="BC11" s="563" t="s">
        <v>1913</v>
      </c>
      <c r="BD11" s="563" t="s">
        <v>1913</v>
      </c>
      <c r="BE11" s="698" t="s">
        <v>1913</v>
      </c>
      <c r="BF11" s="582" t="s">
        <v>1913</v>
      </c>
      <c r="BG11" s="563" t="s">
        <v>1913</v>
      </c>
      <c r="BH11" s="1088"/>
      <c r="BI11" s="1432">
        <v>3</v>
      </c>
      <c r="BJ11" s="823"/>
      <c r="BK11" s="1316"/>
      <c r="BL11" s="1323"/>
    </row>
    <row r="12" spans="1:65" ht="125.15" customHeight="1" x14ac:dyDescent="0.35">
      <c r="A12" s="1460"/>
      <c r="B12" s="1359"/>
      <c r="C12" s="1282"/>
      <c r="D12" s="1282"/>
      <c r="E12" s="1471"/>
      <c r="F12" s="1313" t="s">
        <v>1909</v>
      </c>
      <c r="G12" s="1314"/>
      <c r="H12" s="1314"/>
      <c r="I12" s="1314"/>
      <c r="J12" s="1314"/>
      <c r="K12" s="1314"/>
      <c r="L12" s="1314"/>
      <c r="M12" s="1314"/>
      <c r="N12" s="1315"/>
      <c r="O12" s="1282"/>
      <c r="P12" s="1282"/>
      <c r="Q12" s="328"/>
      <c r="R12" s="328"/>
      <c r="S12" s="1270"/>
      <c r="T12" s="1312"/>
      <c r="U12" s="328"/>
      <c r="V12" s="1270"/>
      <c r="W12" s="583"/>
      <c r="X12" s="585"/>
      <c r="Y12" s="1282"/>
      <c r="Z12" s="1312"/>
      <c r="AA12" s="583"/>
      <c r="AB12" s="585"/>
      <c r="AC12" s="1282"/>
      <c r="AD12" s="1312"/>
      <c r="AE12" s="328"/>
      <c r="AF12" s="1481"/>
      <c r="AG12" s="1310"/>
      <c r="AH12" s="1276"/>
      <c r="AI12" s="1527"/>
      <c r="AJ12" s="1295"/>
      <c r="AK12" s="699"/>
      <c r="AL12" s="663"/>
      <c r="AM12" s="663"/>
      <c r="AN12" s="663"/>
      <c r="AO12" s="663"/>
      <c r="AP12" s="663"/>
      <c r="AQ12" s="711"/>
      <c r="AR12" s="585"/>
      <c r="AS12" s="663"/>
      <c r="AT12" s="663"/>
      <c r="AU12" s="663"/>
      <c r="AV12" s="663"/>
      <c r="AW12" s="663"/>
      <c r="AX12" s="663"/>
      <c r="AY12" s="663"/>
      <c r="AZ12" s="663"/>
      <c r="BA12" s="663"/>
      <c r="BB12" s="663"/>
      <c r="BC12" s="663"/>
      <c r="BD12" s="663"/>
      <c r="BE12" s="711"/>
      <c r="BF12" s="585"/>
      <c r="BG12" s="663"/>
      <c r="BH12" s="817"/>
      <c r="BI12" s="1433"/>
      <c r="BJ12" s="823"/>
      <c r="BK12" s="1317"/>
      <c r="BL12" s="1324"/>
    </row>
    <row r="13" spans="1:65" ht="125.15" customHeight="1" x14ac:dyDescent="0.35">
      <c r="A13" s="1459">
        <v>4</v>
      </c>
      <c r="B13" s="1358" t="s">
        <v>1914</v>
      </c>
      <c r="C13" s="1281" t="s">
        <v>1915</v>
      </c>
      <c r="D13" s="1281" t="s">
        <v>1905</v>
      </c>
      <c r="E13" s="1470"/>
      <c r="F13" s="851"/>
      <c r="G13" s="826"/>
      <c r="H13" s="826"/>
      <c r="I13" s="826"/>
      <c r="J13" s="826"/>
      <c r="K13" s="826"/>
      <c r="L13" s="852"/>
      <c r="M13" s="826"/>
      <c r="N13" s="828"/>
      <c r="O13" s="1281" t="s">
        <v>1911</v>
      </c>
      <c r="P13" s="1281" t="s">
        <v>1916</v>
      </c>
      <c r="Q13" s="489"/>
      <c r="R13" s="489"/>
      <c r="S13" s="1268"/>
      <c r="T13" s="1268"/>
      <c r="U13" s="329"/>
      <c r="V13" s="1268"/>
      <c r="W13" s="489"/>
      <c r="X13" s="586" t="s">
        <v>1917</v>
      </c>
      <c r="Y13" s="1281" t="s">
        <v>1916</v>
      </c>
      <c r="Z13" s="1268"/>
      <c r="AA13" s="489"/>
      <c r="AB13" s="582" t="s">
        <v>1917</v>
      </c>
      <c r="AC13" s="1281"/>
      <c r="AD13" s="1268"/>
      <c r="AE13" s="329"/>
      <c r="AF13" s="1279"/>
      <c r="AG13" s="1309">
        <v>4</v>
      </c>
      <c r="AH13" s="1275">
        <v>4</v>
      </c>
      <c r="AI13" s="1526" t="s">
        <v>1914</v>
      </c>
      <c r="AJ13" s="1293" t="s">
        <v>1915</v>
      </c>
      <c r="AK13" s="691" t="s">
        <v>1917</v>
      </c>
      <c r="AL13" s="563" t="s">
        <v>1917</v>
      </c>
      <c r="AM13" s="563" t="s">
        <v>1917</v>
      </c>
      <c r="AN13" s="563" t="s">
        <v>1917</v>
      </c>
      <c r="AO13" s="563" t="s">
        <v>1917</v>
      </c>
      <c r="AP13" s="563" t="s">
        <v>1917</v>
      </c>
      <c r="AQ13" s="698" t="s">
        <v>1917</v>
      </c>
      <c r="AR13" s="582" t="s">
        <v>1917</v>
      </c>
      <c r="AS13" s="563" t="s">
        <v>1917</v>
      </c>
      <c r="AT13" s="563" t="s">
        <v>1917</v>
      </c>
      <c r="AU13" s="563" t="s">
        <v>1917</v>
      </c>
      <c r="AV13" s="563" t="s">
        <v>1917</v>
      </c>
      <c r="AW13" s="563" t="s">
        <v>1917</v>
      </c>
      <c r="AX13" s="563" t="s">
        <v>1917</v>
      </c>
      <c r="AY13" s="563" t="s">
        <v>1917</v>
      </c>
      <c r="AZ13" s="563" t="s">
        <v>1917</v>
      </c>
      <c r="BA13" s="563" t="s">
        <v>1917</v>
      </c>
      <c r="BB13" s="563" t="s">
        <v>1917</v>
      </c>
      <c r="BC13" s="563" t="s">
        <v>1917</v>
      </c>
      <c r="BD13" s="563" t="s">
        <v>1917</v>
      </c>
      <c r="BE13" s="698" t="s">
        <v>1917</v>
      </c>
      <c r="BF13" s="582" t="s">
        <v>1917</v>
      </c>
      <c r="BG13" s="563" t="s">
        <v>1917</v>
      </c>
      <c r="BH13" s="815"/>
      <c r="BI13" s="1432">
        <v>4</v>
      </c>
      <c r="BJ13" s="823"/>
      <c r="BK13" s="1316"/>
      <c r="BL13" s="1323"/>
    </row>
    <row r="14" spans="1:65" ht="125.15" customHeight="1" x14ac:dyDescent="0.35">
      <c r="A14" s="1460"/>
      <c r="B14" s="1359"/>
      <c r="C14" s="1282"/>
      <c r="D14" s="1282"/>
      <c r="E14" s="1471"/>
      <c r="F14" s="1313" t="s">
        <v>1909</v>
      </c>
      <c r="G14" s="1314"/>
      <c r="H14" s="1314"/>
      <c r="I14" s="1314"/>
      <c r="J14" s="1314"/>
      <c r="K14" s="1314"/>
      <c r="L14" s="1314"/>
      <c r="M14" s="1314"/>
      <c r="N14" s="1315"/>
      <c r="O14" s="1282"/>
      <c r="P14" s="1282"/>
      <c r="Q14" s="583"/>
      <c r="R14" s="583"/>
      <c r="S14" s="1270"/>
      <c r="T14" s="1270"/>
      <c r="U14" s="328"/>
      <c r="V14" s="1270"/>
      <c r="W14" s="583"/>
      <c r="X14" s="587"/>
      <c r="Y14" s="1282"/>
      <c r="Z14" s="1270"/>
      <c r="AA14" s="583"/>
      <c r="AB14" s="587"/>
      <c r="AC14" s="1282"/>
      <c r="AD14" s="1270"/>
      <c r="AE14" s="328"/>
      <c r="AF14" s="1308"/>
      <c r="AG14" s="1310"/>
      <c r="AH14" s="1276"/>
      <c r="AI14" s="1527"/>
      <c r="AJ14" s="1295"/>
      <c r="AK14" s="699"/>
      <c r="AL14" s="663"/>
      <c r="AM14" s="663"/>
      <c r="AN14" s="663"/>
      <c r="AO14" s="663"/>
      <c r="AP14" s="663"/>
      <c r="AQ14" s="711"/>
      <c r="AR14" s="585"/>
      <c r="AS14" s="663"/>
      <c r="AT14" s="663"/>
      <c r="AU14" s="663"/>
      <c r="AV14" s="663"/>
      <c r="AW14" s="663"/>
      <c r="AX14" s="663"/>
      <c r="AY14" s="663"/>
      <c r="AZ14" s="663"/>
      <c r="BA14" s="663"/>
      <c r="BB14" s="663"/>
      <c r="BC14" s="663"/>
      <c r="BD14" s="663"/>
      <c r="BE14" s="711"/>
      <c r="BF14" s="585"/>
      <c r="BG14" s="663"/>
      <c r="BH14" s="817"/>
      <c r="BI14" s="1433"/>
      <c r="BJ14" s="823"/>
      <c r="BK14" s="1317"/>
      <c r="BL14" s="1324"/>
    </row>
    <row r="15" spans="1:65" ht="17.25" customHeight="1" x14ac:dyDescent="0.35">
      <c r="A15" s="1204"/>
      <c r="B15" s="795"/>
      <c r="C15" s="796" t="s">
        <v>1918</v>
      </c>
      <c r="D15" s="302"/>
      <c r="E15" s="303"/>
      <c r="F15" s="303"/>
      <c r="G15" s="303"/>
      <c r="H15" s="303"/>
      <c r="I15" s="303"/>
      <c r="J15" s="303"/>
      <c r="K15" s="303"/>
      <c r="L15" s="303"/>
      <c r="M15" s="303"/>
      <c r="N15" s="307"/>
      <c r="O15" s="303"/>
      <c r="P15" s="302"/>
      <c r="Q15" s="305"/>
      <c r="R15" s="305"/>
      <c r="S15" s="306"/>
      <c r="T15" s="560"/>
      <c r="U15" s="305"/>
      <c r="V15" s="305"/>
      <c r="W15" s="506"/>
      <c r="X15" s="584"/>
      <c r="Y15" s="307"/>
      <c r="Z15" s="560"/>
      <c r="AA15" s="506"/>
      <c r="AB15" s="584"/>
      <c r="AC15" s="307"/>
      <c r="AD15" s="560"/>
      <c r="AE15" s="305"/>
      <c r="AF15" s="1157"/>
      <c r="AG15" s="1078"/>
      <c r="AH15" s="1079"/>
      <c r="AI15" s="1158"/>
      <c r="AJ15" s="801" t="s">
        <v>1918</v>
      </c>
      <c r="AK15" s="802"/>
      <c r="AL15" s="803"/>
      <c r="AM15" s="804"/>
      <c r="AN15" s="803"/>
      <c r="AO15" s="803"/>
      <c r="AP15" s="803"/>
      <c r="AQ15" s="804"/>
      <c r="AR15" s="805"/>
      <c r="AS15" s="803"/>
      <c r="AT15" s="803"/>
      <c r="AU15" s="803"/>
      <c r="AV15" s="803"/>
      <c r="AW15" s="803"/>
      <c r="AX15" s="803"/>
      <c r="AY15" s="803"/>
      <c r="AZ15" s="803"/>
      <c r="BA15" s="803"/>
      <c r="BB15" s="803"/>
      <c r="BC15" s="803"/>
      <c r="BD15" s="803"/>
      <c r="BE15" s="804"/>
      <c r="BF15" s="805"/>
      <c r="BG15" s="302"/>
      <c r="BH15" s="570"/>
      <c r="BI15" s="1080"/>
      <c r="BJ15" s="823"/>
      <c r="BK15" s="807"/>
      <c r="BL15" s="807"/>
    </row>
    <row r="16" spans="1:65" ht="125.15" customHeight="1" x14ac:dyDescent="0.35">
      <c r="A16" s="1459">
        <v>5</v>
      </c>
      <c r="B16" s="1358" t="s">
        <v>1919</v>
      </c>
      <c r="C16" s="1281" t="s">
        <v>1920</v>
      </c>
      <c r="D16" s="1281" t="s">
        <v>1905</v>
      </c>
      <c r="E16" s="1470"/>
      <c r="F16" s="851"/>
      <c r="G16" s="826"/>
      <c r="H16" s="826"/>
      <c r="I16" s="826"/>
      <c r="J16" s="826"/>
      <c r="K16" s="826"/>
      <c r="L16" s="852"/>
      <c r="M16" s="826"/>
      <c r="N16" s="828"/>
      <c r="O16" s="1281" t="s">
        <v>1921</v>
      </c>
      <c r="P16" s="1279" t="s">
        <v>1922</v>
      </c>
      <c r="Q16" s="324"/>
      <c r="R16" s="324" t="s">
        <v>2199</v>
      </c>
      <c r="S16" s="1268" t="s">
        <v>1923</v>
      </c>
      <c r="T16" s="1279"/>
      <c r="U16" s="329"/>
      <c r="V16" s="1279" t="s">
        <v>1823</v>
      </c>
      <c r="W16" s="688"/>
      <c r="X16" s="589" t="s">
        <v>1924</v>
      </c>
      <c r="Y16" s="1279" t="s">
        <v>1925</v>
      </c>
      <c r="Z16" s="1279"/>
      <c r="AA16" s="688"/>
      <c r="AB16" s="589" t="s">
        <v>1924</v>
      </c>
      <c r="AC16" s="1279"/>
      <c r="AD16" s="1279"/>
      <c r="AE16" s="723"/>
      <c r="AF16" s="1279"/>
      <c r="AG16" s="1309">
        <v>5</v>
      </c>
      <c r="AH16" s="1275">
        <v>5</v>
      </c>
      <c r="AI16" s="1526" t="s">
        <v>1919</v>
      </c>
      <c r="AJ16" s="1293" t="s">
        <v>1920</v>
      </c>
      <c r="AK16" s="600" t="s">
        <v>1924</v>
      </c>
      <c r="AL16" s="569" t="s">
        <v>1924</v>
      </c>
      <c r="AM16" s="569" t="s">
        <v>1924</v>
      </c>
      <c r="AN16" s="600" t="s">
        <v>1924</v>
      </c>
      <c r="AO16" s="569"/>
      <c r="AP16" s="643" t="s">
        <v>1924</v>
      </c>
      <c r="AQ16" s="643" t="s">
        <v>1924</v>
      </c>
      <c r="AR16" s="589" t="s">
        <v>1924</v>
      </c>
      <c r="AS16" s="569" t="s">
        <v>1924</v>
      </c>
      <c r="AT16" s="569" t="s">
        <v>1924</v>
      </c>
      <c r="AU16" s="569" t="s">
        <v>1924</v>
      </c>
      <c r="AV16" s="569" t="s">
        <v>1924</v>
      </c>
      <c r="AW16" s="569" t="s">
        <v>1924</v>
      </c>
      <c r="AX16" s="569" t="s">
        <v>1924</v>
      </c>
      <c r="AY16" s="569" t="s">
        <v>1924</v>
      </c>
      <c r="AZ16" s="569" t="s">
        <v>1924</v>
      </c>
      <c r="BA16" s="569" t="s">
        <v>1924</v>
      </c>
      <c r="BB16" s="569" t="s">
        <v>1924</v>
      </c>
      <c r="BC16" s="569" t="s">
        <v>1924</v>
      </c>
      <c r="BD16" s="569" t="s">
        <v>1924</v>
      </c>
      <c r="BE16" s="643" t="s">
        <v>1924</v>
      </c>
      <c r="BF16" s="834" t="s">
        <v>1924</v>
      </c>
      <c r="BG16" s="727" t="s">
        <v>1924</v>
      </c>
      <c r="BH16" s="815"/>
      <c r="BI16" s="1432">
        <v>5</v>
      </c>
      <c r="BJ16" s="823"/>
      <c r="BK16" s="1316"/>
      <c r="BL16" s="1323"/>
    </row>
    <row r="17" spans="1:65" ht="125.15" customHeight="1" x14ac:dyDescent="0.35">
      <c r="A17" s="1460"/>
      <c r="B17" s="1359"/>
      <c r="C17" s="1282"/>
      <c r="D17" s="1282"/>
      <c r="E17" s="1471"/>
      <c r="F17" s="1313" t="s">
        <v>1926</v>
      </c>
      <c r="G17" s="1314"/>
      <c r="H17" s="1314"/>
      <c r="I17" s="1314"/>
      <c r="J17" s="1314"/>
      <c r="K17" s="1314"/>
      <c r="L17" s="1314"/>
      <c r="M17" s="1314"/>
      <c r="N17" s="1315"/>
      <c r="O17" s="1282"/>
      <c r="P17" s="1308"/>
      <c r="Q17" s="456">
        <f>900000+29000000+1100000+5400000+1400000+16000000</f>
        <v>53800000</v>
      </c>
      <c r="R17" s="456"/>
      <c r="S17" s="1270"/>
      <c r="T17" s="1308"/>
      <c r="U17" s="328"/>
      <c r="V17" s="1308"/>
      <c r="W17" s="571">
        <f>Q17</f>
        <v>53800000</v>
      </c>
      <c r="X17" s="599">
        <v>16000000</v>
      </c>
      <c r="Y17" s="1308"/>
      <c r="Z17" s="1308"/>
      <c r="AA17" s="571">
        <f>W17-X17</f>
        <v>37800000</v>
      </c>
      <c r="AB17" s="585"/>
      <c r="AC17" s="1308"/>
      <c r="AD17" s="1308"/>
      <c r="AE17" s="459">
        <f>AA17-AB17</f>
        <v>37800000</v>
      </c>
      <c r="AF17" s="1308"/>
      <c r="AG17" s="1310"/>
      <c r="AH17" s="1276"/>
      <c r="AI17" s="1527"/>
      <c r="AJ17" s="1295"/>
      <c r="AK17" s="699"/>
      <c r="AL17" s="663"/>
      <c r="AM17" s="663"/>
      <c r="AN17" s="663"/>
      <c r="AO17" s="564">
        <v>16000000</v>
      </c>
      <c r="AP17" s="663"/>
      <c r="AQ17" s="711"/>
      <c r="AR17" s="585"/>
      <c r="AS17" s="663"/>
      <c r="AT17" s="663"/>
      <c r="AU17" s="663"/>
      <c r="AV17" s="663"/>
      <c r="AW17" s="663"/>
      <c r="AX17" s="663"/>
      <c r="AY17" s="663"/>
      <c r="AZ17" s="663"/>
      <c r="BA17" s="663"/>
      <c r="BB17" s="663"/>
      <c r="BC17" s="663"/>
      <c r="BD17" s="663"/>
      <c r="BE17" s="711"/>
      <c r="BF17" s="585"/>
      <c r="BG17" s="663"/>
      <c r="BH17" s="817"/>
      <c r="BI17" s="1433"/>
      <c r="BJ17" s="823"/>
      <c r="BK17" s="1317"/>
      <c r="BL17" s="1324"/>
    </row>
    <row r="18" spans="1:65" ht="125.15" customHeight="1" x14ac:dyDescent="0.35">
      <c r="A18" s="1459">
        <v>6</v>
      </c>
      <c r="B18" s="1358" t="s">
        <v>1927</v>
      </c>
      <c r="C18" s="1281" t="s">
        <v>1928</v>
      </c>
      <c r="D18" s="1281" t="s">
        <v>1905</v>
      </c>
      <c r="E18" s="1470"/>
      <c r="F18" s="856"/>
      <c r="G18" s="857"/>
      <c r="H18" s="857"/>
      <c r="I18" s="857"/>
      <c r="J18" s="857"/>
      <c r="K18" s="857"/>
      <c r="L18" s="857"/>
      <c r="M18" s="857"/>
      <c r="N18" s="858"/>
      <c r="O18" s="1281" t="s">
        <v>1921</v>
      </c>
      <c r="P18" s="1281" t="s">
        <v>1929</v>
      </c>
      <c r="Q18" s="329"/>
      <c r="R18" s="329"/>
      <c r="S18" s="1268"/>
      <c r="T18" s="1311"/>
      <c r="U18" s="329"/>
      <c r="V18" s="1268"/>
      <c r="W18" s="489"/>
      <c r="X18" s="589" t="s">
        <v>1930</v>
      </c>
      <c r="Y18" s="1281" t="s">
        <v>1931</v>
      </c>
      <c r="Z18" s="1311"/>
      <c r="AA18" s="489"/>
      <c r="AB18" s="589"/>
      <c r="AC18" s="1281"/>
      <c r="AD18" s="1311"/>
      <c r="AE18" s="329"/>
      <c r="AF18" s="851"/>
      <c r="AG18" s="1309">
        <v>6</v>
      </c>
      <c r="AH18" s="1275">
        <v>6</v>
      </c>
      <c r="AI18" s="1526" t="s">
        <v>1927</v>
      </c>
      <c r="AJ18" s="1293" t="s">
        <v>1928</v>
      </c>
      <c r="AK18" s="734"/>
      <c r="AL18" s="752"/>
      <c r="AM18" s="752"/>
      <c r="AN18" s="752"/>
      <c r="AO18" s="329"/>
      <c r="AP18" s="569" t="s">
        <v>1930</v>
      </c>
      <c r="AQ18" s="884"/>
      <c r="AR18" s="885"/>
      <c r="AS18" s="886"/>
      <c r="AT18" s="886"/>
      <c r="AU18" s="886"/>
      <c r="AV18" s="886"/>
      <c r="AW18" s="886"/>
      <c r="AX18" s="886"/>
      <c r="AY18" s="886"/>
      <c r="AZ18" s="886"/>
      <c r="BA18" s="886"/>
      <c r="BB18" s="886"/>
      <c r="BC18" s="886"/>
      <c r="BD18" s="886"/>
      <c r="BE18" s="887"/>
      <c r="BF18" s="885"/>
      <c r="BG18" s="886"/>
      <c r="BH18" s="888"/>
      <c r="BI18" s="1432">
        <v>6</v>
      </c>
      <c r="BJ18" s="823"/>
      <c r="BK18" s="1316"/>
      <c r="BL18" s="1323"/>
    </row>
    <row r="19" spans="1:65" ht="124.5" customHeight="1" x14ac:dyDescent="0.35">
      <c r="A19" s="1460"/>
      <c r="B19" s="1359"/>
      <c r="C19" s="1282"/>
      <c r="D19" s="1282"/>
      <c r="E19" s="1471"/>
      <c r="F19" s="1313" t="s">
        <v>1932</v>
      </c>
      <c r="G19" s="1314"/>
      <c r="H19" s="1314"/>
      <c r="I19" s="1314"/>
      <c r="J19" s="1314"/>
      <c r="K19" s="1314"/>
      <c r="L19" s="1314"/>
      <c r="M19" s="1314"/>
      <c r="N19" s="1315"/>
      <c r="O19" s="1282"/>
      <c r="P19" s="1282"/>
      <c r="Q19" s="328"/>
      <c r="R19" s="328"/>
      <c r="S19" s="1270"/>
      <c r="T19" s="1312"/>
      <c r="U19" s="328"/>
      <c r="V19" s="1270"/>
      <c r="W19" s="583"/>
      <c r="X19" s="585"/>
      <c r="Y19" s="1282"/>
      <c r="Z19" s="1312"/>
      <c r="AA19" s="583"/>
      <c r="AB19" s="585"/>
      <c r="AC19" s="1282"/>
      <c r="AD19" s="1312"/>
      <c r="AE19" s="328"/>
      <c r="AF19" s="1221"/>
      <c r="AG19" s="1310"/>
      <c r="AH19" s="1276"/>
      <c r="AI19" s="1527"/>
      <c r="AJ19" s="1295"/>
      <c r="AK19" s="905"/>
      <c r="AL19" s="899"/>
      <c r="AM19" s="899"/>
      <c r="AN19" s="899"/>
      <c r="AO19" s="477"/>
      <c r="AP19" s="663"/>
      <c r="AQ19" s="900"/>
      <c r="AR19" s="901"/>
      <c r="AS19" s="899"/>
      <c r="AT19" s="899"/>
      <c r="AU19" s="899"/>
      <c r="AV19" s="899"/>
      <c r="AW19" s="899"/>
      <c r="AX19" s="899"/>
      <c r="AY19" s="899"/>
      <c r="AZ19" s="899"/>
      <c r="BA19" s="899"/>
      <c r="BB19" s="899"/>
      <c r="BC19" s="899"/>
      <c r="BD19" s="899"/>
      <c r="BE19" s="900"/>
      <c r="BF19" s="902"/>
      <c r="BG19" s="899"/>
      <c r="BH19" s="903"/>
      <c r="BI19" s="1433"/>
      <c r="BJ19" s="823"/>
      <c r="BK19" s="1317"/>
      <c r="BL19" s="1324"/>
    </row>
    <row r="20" spans="1:65" ht="125.15" customHeight="1" x14ac:dyDescent="0.35">
      <c r="A20" s="1459">
        <v>7</v>
      </c>
      <c r="B20" s="1358" t="s">
        <v>1933</v>
      </c>
      <c r="C20" s="1281" t="s">
        <v>1934</v>
      </c>
      <c r="D20" s="1281" t="s">
        <v>1905</v>
      </c>
      <c r="E20" s="1470"/>
      <c r="F20" s="856"/>
      <c r="G20" s="857"/>
      <c r="H20" s="857"/>
      <c r="I20" s="857"/>
      <c r="J20" s="857"/>
      <c r="K20" s="857"/>
      <c r="L20" s="857"/>
      <c r="M20" s="857"/>
      <c r="N20" s="858"/>
      <c r="O20" s="1281" t="s">
        <v>1935</v>
      </c>
      <c r="P20" s="1281" t="s">
        <v>1936</v>
      </c>
      <c r="Q20" s="329"/>
      <c r="R20" s="329"/>
      <c r="S20" s="1268"/>
      <c r="T20" s="1311"/>
      <c r="U20" s="329"/>
      <c r="V20" s="1268"/>
      <c r="W20" s="489"/>
      <c r="X20" s="589" t="s">
        <v>1937</v>
      </c>
      <c r="Y20" s="1281" t="s">
        <v>1936</v>
      </c>
      <c r="Z20" s="1311"/>
      <c r="AA20" s="489"/>
      <c r="AB20" s="589" t="s">
        <v>1937</v>
      </c>
      <c r="AC20" s="1281"/>
      <c r="AD20" s="1311"/>
      <c r="AE20" s="329"/>
      <c r="AF20" s="851"/>
      <c r="AG20" s="1309">
        <v>7</v>
      </c>
      <c r="AH20" s="1275">
        <v>7</v>
      </c>
      <c r="AI20" s="1526" t="s">
        <v>1933</v>
      </c>
      <c r="AJ20" s="1293" t="s">
        <v>1934</v>
      </c>
      <c r="AK20" s="600" t="s">
        <v>1937</v>
      </c>
      <c r="AL20" s="569" t="s">
        <v>1937</v>
      </c>
      <c r="AM20" s="569" t="s">
        <v>1937</v>
      </c>
      <c r="AN20" s="569" t="s">
        <v>1937</v>
      </c>
      <c r="AO20" s="569" t="s">
        <v>1937</v>
      </c>
      <c r="AP20" s="569" t="s">
        <v>1937</v>
      </c>
      <c r="AQ20" s="643" t="s">
        <v>1937</v>
      </c>
      <c r="AR20" s="589" t="s">
        <v>1937</v>
      </c>
      <c r="AS20" s="569" t="s">
        <v>1937</v>
      </c>
      <c r="AT20" s="569" t="s">
        <v>1937</v>
      </c>
      <c r="AU20" s="569" t="s">
        <v>1937</v>
      </c>
      <c r="AV20" s="569" t="s">
        <v>1937</v>
      </c>
      <c r="AW20" s="569" t="s">
        <v>1937</v>
      </c>
      <c r="AX20" s="569" t="s">
        <v>1937</v>
      </c>
      <c r="AY20" s="569" t="s">
        <v>1937</v>
      </c>
      <c r="AZ20" s="569" t="s">
        <v>1937</v>
      </c>
      <c r="BA20" s="569" t="s">
        <v>1937</v>
      </c>
      <c r="BB20" s="569" t="s">
        <v>1937</v>
      </c>
      <c r="BC20" s="569" t="s">
        <v>1937</v>
      </c>
      <c r="BD20" s="569" t="s">
        <v>1937</v>
      </c>
      <c r="BE20" s="643" t="s">
        <v>1937</v>
      </c>
      <c r="BF20" s="589" t="s">
        <v>1937</v>
      </c>
      <c r="BG20" s="569" t="s">
        <v>1937</v>
      </c>
      <c r="BH20" s="888"/>
      <c r="BI20" s="1432">
        <v>7</v>
      </c>
      <c r="BJ20" s="823"/>
      <c r="BK20" s="1316"/>
      <c r="BL20" s="1323"/>
    </row>
    <row r="21" spans="1:65" ht="124.5" customHeight="1" x14ac:dyDescent="0.35">
      <c r="A21" s="1460"/>
      <c r="B21" s="1362"/>
      <c r="C21" s="1302"/>
      <c r="D21" s="1302"/>
      <c r="E21" s="1485"/>
      <c r="F21" s="1355" t="s">
        <v>1938</v>
      </c>
      <c r="G21" s="1356"/>
      <c r="H21" s="1356"/>
      <c r="I21" s="1356"/>
      <c r="J21" s="1356"/>
      <c r="K21" s="1356"/>
      <c r="L21" s="1356"/>
      <c r="M21" s="1356"/>
      <c r="N21" s="1357"/>
      <c r="O21" s="1302"/>
      <c r="P21" s="1302"/>
      <c r="Q21" s="331"/>
      <c r="R21" s="331"/>
      <c r="S21" s="1269"/>
      <c r="T21" s="1334"/>
      <c r="U21" s="331"/>
      <c r="V21" s="1269"/>
      <c r="W21" s="626"/>
      <c r="X21" s="582"/>
      <c r="Y21" s="1302"/>
      <c r="Z21" s="1334"/>
      <c r="AA21" s="626"/>
      <c r="AB21" s="582"/>
      <c r="AC21" s="1302"/>
      <c r="AD21" s="1334"/>
      <c r="AE21" s="331"/>
      <c r="AF21" s="1166"/>
      <c r="AG21" s="1310"/>
      <c r="AH21" s="1276"/>
      <c r="AI21" s="1575"/>
      <c r="AJ21" s="1294"/>
      <c r="AK21" s="691"/>
      <c r="AL21" s="563"/>
      <c r="AM21" s="563"/>
      <c r="AN21" s="563"/>
      <c r="AO21" s="563"/>
      <c r="AP21" s="563"/>
      <c r="AQ21" s="698"/>
      <c r="AR21" s="582"/>
      <c r="AS21" s="563"/>
      <c r="AT21" s="563"/>
      <c r="AU21" s="563"/>
      <c r="AV21" s="563"/>
      <c r="AW21" s="563"/>
      <c r="AX21" s="563"/>
      <c r="AY21" s="563"/>
      <c r="AZ21" s="563"/>
      <c r="BA21" s="563"/>
      <c r="BB21" s="563"/>
      <c r="BC21" s="563"/>
      <c r="BD21" s="563"/>
      <c r="BE21" s="698"/>
      <c r="BF21" s="582"/>
      <c r="BG21" s="563"/>
      <c r="BH21" s="897"/>
      <c r="BI21" s="1433"/>
      <c r="BJ21" s="823"/>
      <c r="BK21" s="1317"/>
      <c r="BL21" s="1324"/>
    </row>
    <row r="22" spans="1:65" ht="17.25" customHeight="1" x14ac:dyDescent="0.35">
      <c r="A22" s="1204"/>
      <c r="B22" s="795"/>
      <c r="C22" s="796" t="s">
        <v>1939</v>
      </c>
      <c r="D22" s="302"/>
      <c r="E22" s="303"/>
      <c r="F22" s="303"/>
      <c r="G22" s="303"/>
      <c r="H22" s="303"/>
      <c r="I22" s="303"/>
      <c r="J22" s="303"/>
      <c r="K22" s="303"/>
      <c r="L22" s="303"/>
      <c r="M22" s="303"/>
      <c r="N22" s="307"/>
      <c r="O22" s="303"/>
      <c r="P22" s="302"/>
      <c r="Q22" s="305"/>
      <c r="R22" s="305"/>
      <c r="S22" s="306"/>
      <c r="T22" s="560"/>
      <c r="U22" s="305"/>
      <c r="V22" s="305"/>
      <c r="W22" s="506"/>
      <c r="X22" s="602"/>
      <c r="Y22" s="453"/>
      <c r="Z22" s="306"/>
      <c r="AA22" s="506"/>
      <c r="AB22" s="584"/>
      <c r="AC22" s="453"/>
      <c r="AD22" s="560"/>
      <c r="AE22" s="305"/>
      <c r="AF22" s="1075"/>
      <c r="AG22" s="1078"/>
      <c r="AH22" s="1079"/>
      <c r="AI22" s="800"/>
      <c r="AJ22" s="801" t="s">
        <v>1939</v>
      </c>
      <c r="AK22" s="802"/>
      <c r="AL22" s="803"/>
      <c r="AM22" s="804"/>
      <c r="AN22" s="803"/>
      <c r="AO22" s="803"/>
      <c r="AP22" s="803"/>
      <c r="AQ22" s="804"/>
      <c r="AR22" s="805"/>
      <c r="AS22" s="803"/>
      <c r="AT22" s="803"/>
      <c r="AU22" s="803"/>
      <c r="AV22" s="803"/>
      <c r="AW22" s="803"/>
      <c r="AX22" s="803"/>
      <c r="AY22" s="803"/>
      <c r="AZ22" s="803"/>
      <c r="BA22" s="803"/>
      <c r="BB22" s="803"/>
      <c r="BC22" s="803"/>
      <c r="BD22" s="803"/>
      <c r="BE22" s="804"/>
      <c r="BF22" s="805"/>
      <c r="BG22" s="302"/>
      <c r="BH22" s="570"/>
      <c r="BI22" s="1080"/>
      <c r="BJ22" s="823"/>
      <c r="BK22" s="807"/>
      <c r="BL22" s="807"/>
    </row>
    <row r="23" spans="1:65" ht="125.15" customHeight="1" x14ac:dyDescent="0.35">
      <c r="A23" s="1459">
        <v>8</v>
      </c>
      <c r="B23" s="1358" t="s">
        <v>1940</v>
      </c>
      <c r="C23" s="1281" t="s">
        <v>1941</v>
      </c>
      <c r="D23" s="1281" t="s">
        <v>1905</v>
      </c>
      <c r="E23" s="1470"/>
      <c r="F23" s="851"/>
      <c r="G23" s="826"/>
      <c r="H23" s="826"/>
      <c r="I23" s="826"/>
      <c r="J23" s="826"/>
      <c r="K23" s="826"/>
      <c r="L23" s="852"/>
      <c r="M23" s="826"/>
      <c r="N23" s="828"/>
      <c r="O23" s="1281" t="s">
        <v>1942</v>
      </c>
      <c r="P23" s="1279" t="s">
        <v>1943</v>
      </c>
      <c r="Q23" s="489"/>
      <c r="R23" s="489"/>
      <c r="S23" s="1268"/>
      <c r="T23" s="1268"/>
      <c r="U23" s="329"/>
      <c r="V23" s="1268"/>
      <c r="W23" s="489"/>
      <c r="X23" s="686" t="s">
        <v>1944</v>
      </c>
      <c r="Y23" s="1279"/>
      <c r="Z23" s="1268"/>
      <c r="AA23" s="489"/>
      <c r="AB23" s="589" t="s">
        <v>1944</v>
      </c>
      <c r="AC23" s="1279"/>
      <c r="AD23" s="1549"/>
      <c r="AE23" s="329"/>
      <c r="AF23" s="1472"/>
      <c r="AG23" s="1309">
        <v>8</v>
      </c>
      <c r="AH23" s="1275">
        <v>8</v>
      </c>
      <c r="AI23" s="1271" t="s">
        <v>1940</v>
      </c>
      <c r="AJ23" s="1293" t="s">
        <v>1941</v>
      </c>
      <c r="AK23" s="600" t="s">
        <v>1944</v>
      </c>
      <c r="AL23" s="569" t="s">
        <v>1944</v>
      </c>
      <c r="AM23" s="569" t="s">
        <v>1944</v>
      </c>
      <c r="AN23" s="569" t="s">
        <v>1944</v>
      </c>
      <c r="AO23" s="569" t="s">
        <v>1944</v>
      </c>
      <c r="AP23" s="569" t="s">
        <v>1944</v>
      </c>
      <c r="AQ23" s="643" t="s">
        <v>1944</v>
      </c>
      <c r="AR23" s="589" t="s">
        <v>1944</v>
      </c>
      <c r="AS23" s="569" t="s">
        <v>1944</v>
      </c>
      <c r="AT23" s="569" t="s">
        <v>1944</v>
      </c>
      <c r="AU23" s="569" t="s">
        <v>1944</v>
      </c>
      <c r="AV23" s="569" t="s">
        <v>1944</v>
      </c>
      <c r="AW23" s="569" t="s">
        <v>1944</v>
      </c>
      <c r="AX23" s="569" t="s">
        <v>1944</v>
      </c>
      <c r="AY23" s="569" t="s">
        <v>1944</v>
      </c>
      <c r="AZ23" s="569" t="s">
        <v>1944</v>
      </c>
      <c r="BA23" s="569" t="s">
        <v>1944</v>
      </c>
      <c r="BB23" s="569" t="s">
        <v>1944</v>
      </c>
      <c r="BC23" s="569" t="s">
        <v>1944</v>
      </c>
      <c r="BD23" s="569" t="s">
        <v>1944</v>
      </c>
      <c r="BE23" s="643" t="s">
        <v>1944</v>
      </c>
      <c r="BF23" s="589" t="s">
        <v>1944</v>
      </c>
      <c r="BG23" s="569" t="s">
        <v>1944</v>
      </c>
      <c r="BH23" s="815"/>
      <c r="BI23" s="1432">
        <v>8</v>
      </c>
      <c r="BJ23" s="823"/>
      <c r="BK23" s="1316"/>
      <c r="BL23" s="1323"/>
    </row>
    <row r="24" spans="1:65" ht="125.15" customHeight="1" thickBot="1" x14ac:dyDescent="0.4">
      <c r="A24" s="1460"/>
      <c r="B24" s="1367"/>
      <c r="C24" s="1301"/>
      <c r="D24" s="1301"/>
      <c r="E24" s="1545"/>
      <c r="F24" s="1364" t="s">
        <v>1909</v>
      </c>
      <c r="G24" s="1365"/>
      <c r="H24" s="1365"/>
      <c r="I24" s="1365"/>
      <c r="J24" s="1365"/>
      <c r="K24" s="1365"/>
      <c r="L24" s="1365"/>
      <c r="M24" s="1365"/>
      <c r="N24" s="1366"/>
      <c r="O24" s="1301"/>
      <c r="P24" s="1410"/>
      <c r="Q24" s="604"/>
      <c r="R24" s="604"/>
      <c r="S24" s="1278"/>
      <c r="T24" s="1278"/>
      <c r="U24" s="603"/>
      <c r="V24" s="1278"/>
      <c r="W24" s="604"/>
      <c r="X24" s="687"/>
      <c r="Y24" s="1410"/>
      <c r="Z24" s="1278"/>
      <c r="AA24" s="604"/>
      <c r="AB24" s="605"/>
      <c r="AC24" s="1410"/>
      <c r="AD24" s="1583"/>
      <c r="AE24" s="603"/>
      <c r="AF24" s="1554"/>
      <c r="AG24" s="1310"/>
      <c r="AH24" s="1276"/>
      <c r="AI24" s="1297"/>
      <c r="AJ24" s="1300"/>
      <c r="AK24" s="635"/>
      <c r="AL24" s="634"/>
      <c r="AM24" s="634"/>
      <c r="AN24" s="634"/>
      <c r="AO24" s="634"/>
      <c r="AP24" s="634"/>
      <c r="AQ24" s="712"/>
      <c r="AR24" s="605"/>
      <c r="AS24" s="634"/>
      <c r="AT24" s="634"/>
      <c r="AU24" s="634"/>
      <c r="AV24" s="634"/>
      <c r="AW24" s="634"/>
      <c r="AX24" s="634"/>
      <c r="AY24" s="634"/>
      <c r="AZ24" s="634"/>
      <c r="BA24" s="634"/>
      <c r="BB24" s="634"/>
      <c r="BC24" s="634"/>
      <c r="BD24" s="634"/>
      <c r="BE24" s="712"/>
      <c r="BF24" s="605"/>
      <c r="BG24" s="634"/>
      <c r="BH24" s="1103"/>
      <c r="BI24" s="1433"/>
      <c r="BJ24" s="823"/>
      <c r="BK24" s="1317"/>
      <c r="BL24" s="1324"/>
    </row>
    <row r="25" spans="1:65" ht="15" customHeight="1" x14ac:dyDescent="0.35">
      <c r="A25" s="868"/>
      <c r="B25" s="1072" t="s">
        <v>449</v>
      </c>
      <c r="C25" s="1072" t="s">
        <v>450</v>
      </c>
      <c r="D25" s="1072" t="s">
        <v>451</v>
      </c>
      <c r="E25" s="1072" t="s">
        <v>452</v>
      </c>
      <c r="F25" s="1531" t="s">
        <v>453</v>
      </c>
      <c r="G25" s="1532"/>
      <c r="H25" s="1532"/>
      <c r="I25" s="1532"/>
      <c r="J25" s="1532"/>
      <c r="K25" s="1532"/>
      <c r="L25" s="1532"/>
      <c r="M25" s="1532"/>
      <c r="N25" s="1533"/>
      <c r="O25" s="1072" t="s">
        <v>454</v>
      </c>
      <c r="P25" s="1072" t="s">
        <v>455</v>
      </c>
      <c r="Q25" s="1072" t="s">
        <v>456</v>
      </c>
      <c r="R25" s="1072"/>
      <c r="S25" s="1072" t="s">
        <v>457</v>
      </c>
      <c r="T25" s="1072" t="s">
        <v>458</v>
      </c>
      <c r="U25" s="1072" t="s">
        <v>459</v>
      </c>
      <c r="V25" s="1072" t="s">
        <v>460</v>
      </c>
      <c r="W25" s="1072" t="s">
        <v>461</v>
      </c>
      <c r="X25" s="1072" t="s">
        <v>242</v>
      </c>
      <c r="Y25" s="1072" t="s">
        <v>462</v>
      </c>
      <c r="Z25" s="1072" t="s">
        <v>463</v>
      </c>
      <c r="AA25" s="1072" t="s">
        <v>464</v>
      </c>
      <c r="AB25" s="1072" t="s">
        <v>465</v>
      </c>
      <c r="AC25" s="1072" t="s">
        <v>466</v>
      </c>
      <c r="AD25" s="1072" t="s">
        <v>467</v>
      </c>
      <c r="AE25" s="1072" t="s">
        <v>468</v>
      </c>
      <c r="AF25" s="1072" t="s">
        <v>469</v>
      </c>
      <c r="AG25" s="1185"/>
      <c r="AH25" s="1186"/>
      <c r="AI25" s="1072" t="s">
        <v>449</v>
      </c>
      <c r="AJ25" s="1072" t="s">
        <v>1107</v>
      </c>
      <c r="AK25" s="1072" t="s">
        <v>471</v>
      </c>
      <c r="AL25" s="1073" t="s">
        <v>472</v>
      </c>
      <c r="AM25" s="1072" t="s">
        <v>473</v>
      </c>
      <c r="AN25" s="1072" t="s">
        <v>474</v>
      </c>
      <c r="AO25" s="1072" t="s">
        <v>475</v>
      </c>
      <c r="AP25" s="1072" t="s">
        <v>476</v>
      </c>
      <c r="AQ25" s="1072" t="s">
        <v>477</v>
      </c>
      <c r="AR25" s="1072" t="s">
        <v>478</v>
      </c>
      <c r="AS25" s="1072" t="s">
        <v>479</v>
      </c>
      <c r="AT25" s="1072" t="s">
        <v>480</v>
      </c>
      <c r="AU25" s="1072" t="s">
        <v>481</v>
      </c>
      <c r="AV25" s="1072" t="s">
        <v>482</v>
      </c>
      <c r="AW25" s="1072" t="s">
        <v>483</v>
      </c>
      <c r="AX25" s="1072" t="s">
        <v>484</v>
      </c>
      <c r="AY25" s="1072" t="s">
        <v>485</v>
      </c>
      <c r="AZ25" s="1072" t="s">
        <v>486</v>
      </c>
      <c r="BA25" s="1072" t="s">
        <v>487</v>
      </c>
      <c r="BB25" s="1072" t="s">
        <v>488</v>
      </c>
      <c r="BC25" s="1072" t="s">
        <v>489</v>
      </c>
      <c r="BD25" s="1072" t="s">
        <v>490</v>
      </c>
      <c r="BE25" s="1072" t="s">
        <v>491</v>
      </c>
      <c r="BF25" s="1073" t="s">
        <v>492</v>
      </c>
      <c r="BG25" s="1072" t="s">
        <v>493</v>
      </c>
      <c r="BH25" s="1072" t="s">
        <v>494</v>
      </c>
      <c r="BI25" s="868"/>
    </row>
    <row r="26" spans="1:65" ht="39.9" customHeight="1" x14ac:dyDescent="0.35">
      <c r="A26" s="757"/>
      <c r="B26" s="1461" t="s">
        <v>448</v>
      </c>
      <c r="C26" s="1462"/>
      <c r="D26" s="1462"/>
      <c r="E26" s="1462"/>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759"/>
      <c r="AI26" s="1461" t="s">
        <v>448</v>
      </c>
      <c r="AJ26" s="1462"/>
      <c r="AK26" s="1462"/>
      <c r="AL26" s="1462"/>
      <c r="AM26" s="1462"/>
      <c r="AN26" s="1462"/>
      <c r="AO26" s="1462"/>
      <c r="AP26" s="1462"/>
      <c r="AQ26" s="1462"/>
      <c r="AR26" s="1462"/>
      <c r="AS26" s="1462"/>
      <c r="AT26" s="1462"/>
      <c r="AU26" s="1462"/>
      <c r="AV26" s="1462"/>
      <c r="AW26" s="1462"/>
      <c r="AX26" s="1462"/>
      <c r="AY26" s="1462"/>
      <c r="AZ26" s="1462"/>
      <c r="BA26" s="1462"/>
      <c r="BB26" s="1462"/>
      <c r="BC26" s="1462"/>
      <c r="BD26" s="1462"/>
      <c r="BE26" s="1462"/>
      <c r="BF26" s="1462"/>
      <c r="BG26" s="1462"/>
      <c r="BH26" s="1463"/>
      <c r="BI26" s="759"/>
      <c r="BJ26" s="760"/>
      <c r="BK26" s="760"/>
      <c r="BL26" s="760"/>
      <c r="BM26" s="760"/>
    </row>
    <row r="27" spans="1:65" ht="15" customHeight="1" thickBot="1" x14ac:dyDescent="0.4">
      <c r="B27" s="1072" t="s">
        <v>449</v>
      </c>
      <c r="C27" s="1072" t="s">
        <v>450</v>
      </c>
      <c r="D27" s="1072" t="s">
        <v>451</v>
      </c>
      <c r="E27" s="1072" t="s">
        <v>452</v>
      </c>
      <c r="F27" s="1534" t="s">
        <v>453</v>
      </c>
      <c r="G27" s="1535"/>
      <c r="H27" s="1535"/>
      <c r="I27" s="1535"/>
      <c r="J27" s="1535"/>
      <c r="K27" s="1535"/>
      <c r="L27" s="1535"/>
      <c r="M27" s="1535"/>
      <c r="N27" s="1536"/>
      <c r="O27" s="1072" t="s">
        <v>454</v>
      </c>
      <c r="P27" s="1072" t="s">
        <v>455</v>
      </c>
      <c r="Q27" s="1072" t="s">
        <v>456</v>
      </c>
      <c r="R27" s="1072"/>
      <c r="S27" s="1072" t="s">
        <v>457</v>
      </c>
      <c r="T27" s="1072" t="s">
        <v>458</v>
      </c>
      <c r="U27" s="1072" t="s">
        <v>459</v>
      </c>
      <c r="V27" s="1072" t="s">
        <v>460</v>
      </c>
      <c r="W27" s="1072" t="s">
        <v>461</v>
      </c>
      <c r="X27" s="1072" t="s">
        <v>242</v>
      </c>
      <c r="Y27" s="1072" t="s">
        <v>462</v>
      </c>
      <c r="Z27" s="1072" t="s">
        <v>463</v>
      </c>
      <c r="AA27" s="1072" t="s">
        <v>464</v>
      </c>
      <c r="AB27" s="1072" t="s">
        <v>465</v>
      </c>
      <c r="AC27" s="1072" t="s">
        <v>466</v>
      </c>
      <c r="AD27" s="1072" t="s">
        <v>467</v>
      </c>
      <c r="AE27" s="1072" t="s">
        <v>468</v>
      </c>
      <c r="AF27" s="1072" t="s">
        <v>469</v>
      </c>
      <c r="AG27" s="1140"/>
      <c r="AH27" s="1141"/>
      <c r="AI27" s="1072" t="s">
        <v>449</v>
      </c>
      <c r="AJ27" s="1072" t="s">
        <v>450</v>
      </c>
      <c r="AK27" s="1072" t="s">
        <v>471</v>
      </c>
      <c r="AL27" s="1073" t="s">
        <v>472</v>
      </c>
      <c r="AM27" s="1072" t="s">
        <v>473</v>
      </c>
      <c r="AN27" s="1072" t="s">
        <v>474</v>
      </c>
      <c r="AO27" s="1072" t="s">
        <v>475</v>
      </c>
      <c r="AP27" s="1072" t="s">
        <v>476</v>
      </c>
      <c r="AQ27" s="1072" t="s">
        <v>477</v>
      </c>
      <c r="AR27" s="1072" t="s">
        <v>478</v>
      </c>
      <c r="AS27" s="1072" t="s">
        <v>479</v>
      </c>
      <c r="AT27" s="1072" t="s">
        <v>480</v>
      </c>
      <c r="AU27" s="1072" t="s">
        <v>481</v>
      </c>
      <c r="AV27" s="1072" t="s">
        <v>482</v>
      </c>
      <c r="AW27" s="1072" t="s">
        <v>483</v>
      </c>
      <c r="AX27" s="1072" t="s">
        <v>484</v>
      </c>
      <c r="AY27" s="1072" t="s">
        <v>485</v>
      </c>
      <c r="AZ27" s="1072" t="s">
        <v>486</v>
      </c>
      <c r="BA27" s="1072" t="s">
        <v>487</v>
      </c>
      <c r="BB27" s="1072" t="s">
        <v>488</v>
      </c>
      <c r="BC27" s="1072" t="s">
        <v>489</v>
      </c>
      <c r="BD27" s="1072" t="s">
        <v>490</v>
      </c>
      <c r="BE27" s="1072" t="s">
        <v>491</v>
      </c>
      <c r="BF27" s="1073" t="s">
        <v>492</v>
      </c>
      <c r="BG27" s="1072" t="s">
        <v>493</v>
      </c>
      <c r="BH27" s="1072" t="s">
        <v>494</v>
      </c>
    </row>
    <row r="28" spans="1:65" ht="99.9" customHeight="1" x14ac:dyDescent="0.35">
      <c r="B28" s="1581" t="s">
        <v>2231</v>
      </c>
      <c r="C28" s="874"/>
      <c r="D28" s="1491" t="s">
        <v>495</v>
      </c>
      <c r="E28" s="1579" t="s">
        <v>496</v>
      </c>
      <c r="F28" s="1576" t="s">
        <v>219</v>
      </c>
      <c r="G28" s="1577"/>
      <c r="H28" s="1577"/>
      <c r="I28" s="1577"/>
      <c r="J28" s="1577"/>
      <c r="K28" s="1577"/>
      <c r="L28" s="1577"/>
      <c r="M28" s="1577"/>
      <c r="N28" s="1578"/>
      <c r="O28" s="1491" t="s">
        <v>214</v>
      </c>
      <c r="P28" s="1491" t="s">
        <v>497</v>
      </c>
      <c r="Q28" s="1491" t="s">
        <v>498</v>
      </c>
      <c r="R28" s="1491" t="s">
        <v>2190</v>
      </c>
      <c r="S28" s="1567" t="s">
        <v>499</v>
      </c>
      <c r="T28" s="1567" t="s">
        <v>501</v>
      </c>
      <c r="U28" s="1573" t="s">
        <v>2</v>
      </c>
      <c r="V28" s="1567" t="s">
        <v>500</v>
      </c>
      <c r="W28" s="1571" t="s">
        <v>1898</v>
      </c>
      <c r="X28" s="1569" t="s">
        <v>503</v>
      </c>
      <c r="Y28" s="1491" t="s">
        <v>504</v>
      </c>
      <c r="Z28" s="1567" t="s">
        <v>505</v>
      </c>
      <c r="AA28" s="1571" t="s">
        <v>506</v>
      </c>
      <c r="AB28" s="1569" t="s">
        <v>1575</v>
      </c>
      <c r="AC28" s="1491" t="s">
        <v>504</v>
      </c>
      <c r="AD28" s="1567" t="s">
        <v>505</v>
      </c>
      <c r="AE28" s="1560" t="s">
        <v>508</v>
      </c>
      <c r="AF28" s="1561" t="s">
        <v>509</v>
      </c>
      <c r="AG28" s="769"/>
      <c r="AH28" s="770"/>
      <c r="AI28" s="1404" t="s">
        <v>2231</v>
      </c>
      <c r="AJ28" s="875"/>
      <c r="AK28" s="876" t="s">
        <v>2234</v>
      </c>
      <c r="AL28" s="877" t="s">
        <v>2235</v>
      </c>
      <c r="AM28" s="877" t="s">
        <v>2236</v>
      </c>
      <c r="AN28" s="877" t="s">
        <v>2237</v>
      </c>
      <c r="AO28" s="877" t="s">
        <v>2238</v>
      </c>
      <c r="AP28" s="877" t="s">
        <v>2239</v>
      </c>
      <c r="AQ28" s="878" t="s">
        <v>2240</v>
      </c>
      <c r="AR28" s="879" t="s">
        <v>2241</v>
      </c>
      <c r="AS28" s="877" t="s">
        <v>2242</v>
      </c>
      <c r="AT28" s="877" t="s">
        <v>2243</v>
      </c>
      <c r="AU28" s="877" t="s">
        <v>2244</v>
      </c>
      <c r="AV28" s="877" t="s">
        <v>2245</v>
      </c>
      <c r="AW28" s="877" t="s">
        <v>2246</v>
      </c>
      <c r="AX28" s="877" t="s">
        <v>2247</v>
      </c>
      <c r="AY28" s="877" t="s">
        <v>2248</v>
      </c>
      <c r="AZ28" s="877" t="s">
        <v>2249</v>
      </c>
      <c r="BA28" s="877" t="s">
        <v>2250</v>
      </c>
      <c r="BB28" s="877" t="s">
        <v>2251</v>
      </c>
      <c r="BC28" s="877" t="s">
        <v>2252</v>
      </c>
      <c r="BD28" s="877" t="s">
        <v>2253</v>
      </c>
      <c r="BE28" s="878" t="s">
        <v>2254</v>
      </c>
      <c r="BF28" s="879" t="s">
        <v>2255</v>
      </c>
      <c r="BG28" s="1563" t="s">
        <v>41</v>
      </c>
      <c r="BH28" s="1565" t="s">
        <v>42</v>
      </c>
      <c r="BI28" s="769"/>
      <c r="BJ28" s="777"/>
      <c r="BK28" s="778"/>
      <c r="BL28" s="778"/>
    </row>
    <row r="29" spans="1:65" s="793" customFormat="1" ht="50.15" customHeight="1" x14ac:dyDescent="0.35">
      <c r="A29" s="880"/>
      <c r="B29" s="1582"/>
      <c r="C29" s="780" t="s">
        <v>1899</v>
      </c>
      <c r="D29" s="1322"/>
      <c r="E29" s="1580"/>
      <c r="F29" s="333" t="s">
        <v>512</v>
      </c>
      <c r="G29" s="333" t="s">
        <v>513</v>
      </c>
      <c r="H29" s="333" t="s">
        <v>514</v>
      </c>
      <c r="I29" s="333" t="s">
        <v>515</v>
      </c>
      <c r="J29" s="333" t="s">
        <v>516</v>
      </c>
      <c r="K29" s="333" t="s">
        <v>517</v>
      </c>
      <c r="L29" s="333" t="s">
        <v>518</v>
      </c>
      <c r="M29" s="333" t="s">
        <v>519</v>
      </c>
      <c r="N29" s="333" t="s">
        <v>520</v>
      </c>
      <c r="O29" s="1322"/>
      <c r="P29" s="1322"/>
      <c r="Q29" s="1322"/>
      <c r="R29" s="1322"/>
      <c r="S29" s="1568"/>
      <c r="T29" s="1568"/>
      <c r="U29" s="1574"/>
      <c r="V29" s="1568"/>
      <c r="W29" s="1572"/>
      <c r="X29" s="1570"/>
      <c r="Y29" s="1322"/>
      <c r="Z29" s="1568"/>
      <c r="AA29" s="1572"/>
      <c r="AB29" s="1570"/>
      <c r="AC29" s="1322"/>
      <c r="AD29" s="1568"/>
      <c r="AE29" s="1251"/>
      <c r="AF29" s="1562"/>
      <c r="AG29" s="781"/>
      <c r="AH29" s="782"/>
      <c r="AI29" s="1401"/>
      <c r="AJ29" s="783" t="s">
        <v>1899</v>
      </c>
      <c r="AK29" s="784">
        <v>8500</v>
      </c>
      <c r="AL29" s="785">
        <v>1500</v>
      </c>
      <c r="AM29" s="785">
        <v>2600</v>
      </c>
      <c r="AN29" s="786">
        <v>750</v>
      </c>
      <c r="AO29" s="786" t="s">
        <v>48</v>
      </c>
      <c r="AP29" s="785">
        <v>2100</v>
      </c>
      <c r="AQ29" s="787">
        <v>1050</v>
      </c>
      <c r="AR29" s="788">
        <v>550</v>
      </c>
      <c r="AS29" s="786">
        <v>70</v>
      </c>
      <c r="AT29" s="786">
        <v>30</v>
      </c>
      <c r="AU29" s="786">
        <v>35</v>
      </c>
      <c r="AV29" s="786">
        <v>35</v>
      </c>
      <c r="AW29" s="786">
        <v>20</v>
      </c>
      <c r="AX29" s="786">
        <v>16</v>
      </c>
      <c r="AY29" s="786">
        <v>15</v>
      </c>
      <c r="AZ29" s="786">
        <v>13</v>
      </c>
      <c r="BA29" s="786">
        <v>10</v>
      </c>
      <c r="BB29" s="786">
        <v>10</v>
      </c>
      <c r="BC29" s="786">
        <v>10</v>
      </c>
      <c r="BD29" s="786">
        <v>10</v>
      </c>
      <c r="BE29" s="789">
        <v>10</v>
      </c>
      <c r="BF29" s="790">
        <v>2120</v>
      </c>
      <c r="BG29" s="1564"/>
      <c r="BH29" s="1566"/>
      <c r="BI29" s="781"/>
      <c r="BJ29" s="791"/>
      <c r="BK29" s="792"/>
      <c r="BL29" s="792"/>
    </row>
    <row r="30" spans="1:65" ht="17.25" customHeight="1" x14ac:dyDescent="0.35">
      <c r="B30" s="795"/>
      <c r="C30" s="796" t="s">
        <v>2317</v>
      </c>
      <c r="D30" s="302"/>
      <c r="E30" s="303"/>
      <c r="F30" s="303"/>
      <c r="G30" s="303"/>
      <c r="H30" s="303"/>
      <c r="I30" s="303"/>
      <c r="J30" s="303"/>
      <c r="K30" s="303"/>
      <c r="L30" s="303"/>
      <c r="M30" s="303"/>
      <c r="N30" s="307"/>
      <c r="O30" s="303"/>
      <c r="P30" s="302"/>
      <c r="Q30" s="305"/>
      <c r="R30" s="305"/>
      <c r="S30" s="306"/>
      <c r="T30" s="560"/>
      <c r="U30" s="305"/>
      <c r="V30" s="305"/>
      <c r="W30" s="506"/>
      <c r="X30" s="602"/>
      <c r="Y30" s="453"/>
      <c r="Z30" s="306"/>
      <c r="AA30" s="506"/>
      <c r="AB30" s="584"/>
      <c r="AC30" s="453"/>
      <c r="AD30" s="560"/>
      <c r="AE30" s="305"/>
      <c r="AF30" s="1157"/>
      <c r="AG30" s="798"/>
      <c r="AH30" s="799"/>
      <c r="AI30" s="1158"/>
      <c r="AJ30" s="801" t="s">
        <v>2318</v>
      </c>
      <c r="AK30" s="802"/>
      <c r="AL30" s="803"/>
      <c r="AM30" s="804"/>
      <c r="AN30" s="803"/>
      <c r="AO30" s="803"/>
      <c r="AP30" s="803"/>
      <c r="AQ30" s="804"/>
      <c r="AR30" s="805"/>
      <c r="AS30" s="803"/>
      <c r="AT30" s="803"/>
      <c r="AU30" s="803"/>
      <c r="AV30" s="803"/>
      <c r="AW30" s="803"/>
      <c r="AX30" s="803"/>
      <c r="AY30" s="803"/>
      <c r="AZ30" s="803"/>
      <c r="BA30" s="803"/>
      <c r="BB30" s="803"/>
      <c r="BC30" s="803"/>
      <c r="BD30" s="803"/>
      <c r="BE30" s="804"/>
      <c r="BF30" s="805"/>
      <c r="BG30" s="302"/>
      <c r="BH30" s="570"/>
      <c r="BI30" s="769"/>
      <c r="BJ30" s="823"/>
      <c r="BK30" s="807"/>
      <c r="BL30" s="807"/>
    </row>
    <row r="31" spans="1:65" ht="125.15" customHeight="1" x14ac:dyDescent="0.35">
      <c r="A31" s="1459">
        <v>9</v>
      </c>
      <c r="B31" s="1358" t="s">
        <v>1945</v>
      </c>
      <c r="C31" s="1281" t="s">
        <v>1946</v>
      </c>
      <c r="D31" s="1281" t="s">
        <v>1905</v>
      </c>
      <c r="E31" s="1470"/>
      <c r="F31" s="856"/>
      <c r="G31" s="857"/>
      <c r="H31" s="857"/>
      <c r="I31" s="857"/>
      <c r="J31" s="857"/>
      <c r="K31" s="857"/>
      <c r="L31" s="857"/>
      <c r="M31" s="857"/>
      <c r="N31" s="858"/>
      <c r="O31" s="1281" t="s">
        <v>1947</v>
      </c>
      <c r="P31" s="1281" t="s">
        <v>1948</v>
      </c>
      <c r="Q31" s="455"/>
      <c r="R31" s="455" t="s">
        <v>2199</v>
      </c>
      <c r="S31" s="1268" t="s">
        <v>1949</v>
      </c>
      <c r="T31" s="1268" t="s">
        <v>1950</v>
      </c>
      <c r="U31" s="329"/>
      <c r="V31" s="1268"/>
      <c r="W31" s="688"/>
      <c r="X31" s="589" t="s">
        <v>1951</v>
      </c>
      <c r="Y31" s="1281" t="s">
        <v>1952</v>
      </c>
      <c r="Z31" s="1311"/>
      <c r="AA31" s="489"/>
      <c r="AB31" s="597"/>
      <c r="AC31" s="1281"/>
      <c r="AD31" s="1311"/>
      <c r="AE31" s="329"/>
      <c r="AF31" s="851"/>
      <c r="AG31" s="1309">
        <v>9</v>
      </c>
      <c r="AH31" s="1275">
        <v>9</v>
      </c>
      <c r="AI31" s="1526" t="s">
        <v>1945</v>
      </c>
      <c r="AJ31" s="1293" t="s">
        <v>1946</v>
      </c>
      <c r="AK31" s="734"/>
      <c r="AL31" s="752"/>
      <c r="AM31" s="569" t="s">
        <v>1951</v>
      </c>
      <c r="AN31" s="569" t="s">
        <v>1951</v>
      </c>
      <c r="AO31" s="568"/>
      <c r="AP31" s="752"/>
      <c r="AQ31" s="884"/>
      <c r="AR31" s="885"/>
      <c r="AS31" s="886"/>
      <c r="AT31" s="886"/>
      <c r="AU31" s="886"/>
      <c r="AV31" s="886"/>
      <c r="AW31" s="886"/>
      <c r="AX31" s="886"/>
      <c r="AY31" s="886"/>
      <c r="AZ31" s="886"/>
      <c r="BA31" s="886"/>
      <c r="BB31" s="886"/>
      <c r="BC31" s="886"/>
      <c r="BD31" s="886"/>
      <c r="BE31" s="887"/>
      <c r="BF31" s="885"/>
      <c r="BG31" s="886"/>
      <c r="BH31" s="888"/>
      <c r="BI31" s="1432">
        <v>9</v>
      </c>
      <c r="BJ31" s="823"/>
      <c r="BK31" s="1316"/>
      <c r="BL31" s="1323"/>
    </row>
    <row r="32" spans="1:65" ht="125.15" customHeight="1" x14ac:dyDescent="0.35">
      <c r="A32" s="1460"/>
      <c r="B32" s="1359"/>
      <c r="C32" s="1282"/>
      <c r="D32" s="1282"/>
      <c r="E32" s="1471"/>
      <c r="F32" s="1313" t="s">
        <v>1932</v>
      </c>
      <c r="G32" s="1314"/>
      <c r="H32" s="1314"/>
      <c r="I32" s="1314"/>
      <c r="J32" s="1314"/>
      <c r="K32" s="1314"/>
      <c r="L32" s="1314"/>
      <c r="M32" s="1314"/>
      <c r="N32" s="1315"/>
      <c r="O32" s="1282"/>
      <c r="P32" s="1282"/>
      <c r="Q32" s="456">
        <v>6700000</v>
      </c>
      <c r="R32" s="456"/>
      <c r="S32" s="1270"/>
      <c r="T32" s="1270"/>
      <c r="U32" s="328"/>
      <c r="V32" s="1270"/>
      <c r="W32" s="571">
        <f>Q32</f>
        <v>6700000</v>
      </c>
      <c r="X32" s="599">
        <f>Q32</f>
        <v>6700000</v>
      </c>
      <c r="Y32" s="1282"/>
      <c r="Z32" s="1312"/>
      <c r="AA32" s="583"/>
      <c r="AB32" s="598"/>
      <c r="AC32" s="1282"/>
      <c r="AD32" s="1312"/>
      <c r="AE32" s="328"/>
      <c r="AF32" s="1221"/>
      <c r="AG32" s="1310"/>
      <c r="AH32" s="1276"/>
      <c r="AI32" s="1527"/>
      <c r="AJ32" s="1295"/>
      <c r="AK32" s="905"/>
      <c r="AL32" s="899"/>
      <c r="AM32" s="663"/>
      <c r="AN32" s="663"/>
      <c r="AO32" s="564">
        <f>X32</f>
        <v>6700000</v>
      </c>
      <c r="AP32" s="899"/>
      <c r="AQ32" s="900"/>
      <c r="AR32" s="901"/>
      <c r="AS32" s="899"/>
      <c r="AT32" s="899"/>
      <c r="AU32" s="899"/>
      <c r="AV32" s="899"/>
      <c r="AW32" s="899"/>
      <c r="AX32" s="899"/>
      <c r="AY32" s="899"/>
      <c r="AZ32" s="899"/>
      <c r="BA32" s="899"/>
      <c r="BB32" s="899"/>
      <c r="BC32" s="899"/>
      <c r="BD32" s="899"/>
      <c r="BE32" s="900"/>
      <c r="BF32" s="902"/>
      <c r="BG32" s="899"/>
      <c r="BH32" s="903"/>
      <c r="BI32" s="1433"/>
      <c r="BJ32" s="823"/>
      <c r="BK32" s="1317"/>
      <c r="BL32" s="1324"/>
    </row>
    <row r="33" spans="1:64" ht="125.15" customHeight="1" x14ac:dyDescent="0.35">
      <c r="A33" s="1459">
        <v>10</v>
      </c>
      <c r="B33" s="1358" t="s">
        <v>1953</v>
      </c>
      <c r="C33" s="1281" t="s">
        <v>1954</v>
      </c>
      <c r="D33" s="1281" t="s">
        <v>1905</v>
      </c>
      <c r="E33" s="1470"/>
      <c r="F33" s="856"/>
      <c r="G33" s="857"/>
      <c r="H33" s="857"/>
      <c r="I33" s="857"/>
      <c r="J33" s="857"/>
      <c r="K33" s="857"/>
      <c r="L33" s="857"/>
      <c r="M33" s="857"/>
      <c r="N33" s="858"/>
      <c r="O33" s="1281" t="s">
        <v>1935</v>
      </c>
      <c r="P33" s="1281" t="s">
        <v>1955</v>
      </c>
      <c r="Q33" s="329"/>
      <c r="R33" s="329"/>
      <c r="S33" s="1268"/>
      <c r="T33" s="1311"/>
      <c r="U33" s="329"/>
      <c r="V33" s="1268"/>
      <c r="W33" s="489"/>
      <c r="X33" s="582" t="s">
        <v>1944</v>
      </c>
      <c r="Y33" s="1281" t="s">
        <v>1955</v>
      </c>
      <c r="Z33" s="1311"/>
      <c r="AA33" s="489"/>
      <c r="AB33" s="582" t="s">
        <v>1944</v>
      </c>
      <c r="AC33" s="1281"/>
      <c r="AD33" s="1311"/>
      <c r="AE33" s="329"/>
      <c r="AF33" s="851"/>
      <c r="AG33" s="1309">
        <v>10</v>
      </c>
      <c r="AH33" s="1275">
        <v>10</v>
      </c>
      <c r="AI33" s="1526" t="s">
        <v>1953</v>
      </c>
      <c r="AJ33" s="1293" t="s">
        <v>1954</v>
      </c>
      <c r="AK33" s="691" t="s">
        <v>1944</v>
      </c>
      <c r="AL33" s="563" t="s">
        <v>1944</v>
      </c>
      <c r="AM33" s="563" t="s">
        <v>1944</v>
      </c>
      <c r="AN33" s="563" t="s">
        <v>1944</v>
      </c>
      <c r="AO33" s="563" t="s">
        <v>1944</v>
      </c>
      <c r="AP33" s="563" t="s">
        <v>1944</v>
      </c>
      <c r="AQ33" s="698" t="s">
        <v>1944</v>
      </c>
      <c r="AR33" s="582" t="s">
        <v>1944</v>
      </c>
      <c r="AS33" s="563" t="s">
        <v>1944</v>
      </c>
      <c r="AT33" s="563" t="s">
        <v>1944</v>
      </c>
      <c r="AU33" s="563" t="s">
        <v>1944</v>
      </c>
      <c r="AV33" s="563" t="s">
        <v>1944</v>
      </c>
      <c r="AW33" s="563" t="s">
        <v>1944</v>
      </c>
      <c r="AX33" s="563" t="s">
        <v>1944</v>
      </c>
      <c r="AY33" s="563" t="s">
        <v>1944</v>
      </c>
      <c r="AZ33" s="563" t="s">
        <v>1944</v>
      </c>
      <c r="BA33" s="563" t="s">
        <v>1944</v>
      </c>
      <c r="BB33" s="563" t="s">
        <v>1944</v>
      </c>
      <c r="BC33" s="563" t="s">
        <v>1944</v>
      </c>
      <c r="BD33" s="563" t="s">
        <v>1944</v>
      </c>
      <c r="BE33" s="698" t="s">
        <v>1944</v>
      </c>
      <c r="BF33" s="582" t="s">
        <v>1944</v>
      </c>
      <c r="BG33" s="563" t="s">
        <v>1944</v>
      </c>
      <c r="BH33" s="888"/>
      <c r="BI33" s="1432">
        <v>10</v>
      </c>
      <c r="BJ33" s="823"/>
      <c r="BK33" s="1316"/>
      <c r="BL33" s="1323"/>
    </row>
    <row r="34" spans="1:64" ht="124.5" customHeight="1" x14ac:dyDescent="0.35">
      <c r="A34" s="1460"/>
      <c r="B34" s="1359"/>
      <c r="C34" s="1282"/>
      <c r="D34" s="1282"/>
      <c r="E34" s="1471"/>
      <c r="F34" s="1313" t="s">
        <v>1938</v>
      </c>
      <c r="G34" s="1314"/>
      <c r="H34" s="1314"/>
      <c r="I34" s="1314"/>
      <c r="J34" s="1314"/>
      <c r="K34" s="1314"/>
      <c r="L34" s="1314"/>
      <c r="M34" s="1314"/>
      <c r="N34" s="1315"/>
      <c r="O34" s="1282"/>
      <c r="P34" s="1282"/>
      <c r="Q34" s="328"/>
      <c r="R34" s="328"/>
      <c r="S34" s="1270"/>
      <c r="T34" s="1312"/>
      <c r="U34" s="328"/>
      <c r="V34" s="1270"/>
      <c r="W34" s="583"/>
      <c r="X34" s="585"/>
      <c r="Y34" s="1282"/>
      <c r="Z34" s="1312"/>
      <c r="AA34" s="583"/>
      <c r="AB34" s="585"/>
      <c r="AC34" s="1282"/>
      <c r="AD34" s="1312"/>
      <c r="AE34" s="328"/>
      <c r="AF34" s="1221"/>
      <c r="AG34" s="1310"/>
      <c r="AH34" s="1276"/>
      <c r="AI34" s="1527"/>
      <c r="AJ34" s="1295"/>
      <c r="AK34" s="699"/>
      <c r="AL34" s="663"/>
      <c r="AM34" s="663"/>
      <c r="AN34" s="663"/>
      <c r="AO34" s="663"/>
      <c r="AP34" s="663"/>
      <c r="AQ34" s="711"/>
      <c r="AR34" s="585"/>
      <c r="AS34" s="663"/>
      <c r="AT34" s="663"/>
      <c r="AU34" s="663"/>
      <c r="AV34" s="663"/>
      <c r="AW34" s="663"/>
      <c r="AX34" s="663"/>
      <c r="AY34" s="663"/>
      <c r="AZ34" s="663"/>
      <c r="BA34" s="663"/>
      <c r="BB34" s="663"/>
      <c r="BC34" s="663"/>
      <c r="BD34" s="663"/>
      <c r="BE34" s="711"/>
      <c r="BF34" s="585"/>
      <c r="BG34" s="663"/>
      <c r="BH34" s="903"/>
      <c r="BI34" s="1433"/>
      <c r="BJ34" s="823"/>
      <c r="BK34" s="1317"/>
      <c r="BL34" s="1324"/>
    </row>
    <row r="35" spans="1:64" ht="17.25" customHeight="1" x14ac:dyDescent="0.35">
      <c r="A35" s="821"/>
      <c r="B35" s="795"/>
      <c r="C35" s="796" t="s">
        <v>1956</v>
      </c>
      <c r="D35" s="302"/>
      <c r="E35" s="303"/>
      <c r="F35" s="303"/>
      <c r="G35" s="303"/>
      <c r="H35" s="303"/>
      <c r="I35" s="303"/>
      <c r="J35" s="303"/>
      <c r="K35" s="303"/>
      <c r="L35" s="303"/>
      <c r="M35" s="303"/>
      <c r="N35" s="307"/>
      <c r="O35" s="303"/>
      <c r="P35" s="302"/>
      <c r="Q35" s="305"/>
      <c r="R35" s="305"/>
      <c r="S35" s="306"/>
      <c r="T35" s="560"/>
      <c r="U35" s="305"/>
      <c r="V35" s="305"/>
      <c r="W35" s="506"/>
      <c r="X35" s="584"/>
      <c r="Y35" s="307"/>
      <c r="Z35" s="560"/>
      <c r="AA35" s="506"/>
      <c r="AB35" s="584"/>
      <c r="AC35" s="307"/>
      <c r="AD35" s="560"/>
      <c r="AE35" s="305"/>
      <c r="AF35" s="1157"/>
      <c r="AG35" s="1078"/>
      <c r="AH35" s="1079"/>
      <c r="AI35" s="1158"/>
      <c r="AJ35" s="801" t="s">
        <v>1956</v>
      </c>
      <c r="AK35" s="802"/>
      <c r="AL35" s="803"/>
      <c r="AM35" s="804"/>
      <c r="AN35" s="803"/>
      <c r="AO35" s="803"/>
      <c r="AP35" s="803"/>
      <c r="AQ35" s="804"/>
      <c r="AR35" s="805"/>
      <c r="AS35" s="803"/>
      <c r="AT35" s="803"/>
      <c r="AU35" s="803"/>
      <c r="AV35" s="803"/>
      <c r="AW35" s="803"/>
      <c r="AX35" s="803"/>
      <c r="AY35" s="803"/>
      <c r="AZ35" s="803"/>
      <c r="BA35" s="803"/>
      <c r="BB35" s="803"/>
      <c r="BC35" s="803"/>
      <c r="BD35" s="803"/>
      <c r="BE35" s="804"/>
      <c r="BF35" s="805"/>
      <c r="BG35" s="302"/>
      <c r="BH35" s="570"/>
      <c r="BI35" s="1078"/>
      <c r="BJ35" s="823"/>
      <c r="BK35" s="807"/>
      <c r="BL35" s="807"/>
    </row>
    <row r="36" spans="1:64" ht="125.15" customHeight="1" x14ac:dyDescent="0.35">
      <c r="A36" s="1459">
        <v>11</v>
      </c>
      <c r="B36" s="1358" t="s">
        <v>1957</v>
      </c>
      <c r="C36" s="1281" t="s">
        <v>1958</v>
      </c>
      <c r="D36" s="1281" t="s">
        <v>1905</v>
      </c>
      <c r="E36" s="1470"/>
      <c r="F36" s="851"/>
      <c r="G36" s="826"/>
      <c r="H36" s="826"/>
      <c r="I36" s="826"/>
      <c r="J36" s="826"/>
      <c r="K36" s="826"/>
      <c r="L36" s="852"/>
      <c r="M36" s="826"/>
      <c r="N36" s="828"/>
      <c r="O36" s="1281" t="s">
        <v>1959</v>
      </c>
      <c r="P36" s="1279" t="s">
        <v>1960</v>
      </c>
      <c r="Q36" s="329"/>
      <c r="R36" s="329"/>
      <c r="S36" s="1268"/>
      <c r="T36" s="1279"/>
      <c r="U36" s="329"/>
      <c r="V36" s="1268"/>
      <c r="W36" s="489"/>
      <c r="X36" s="582" t="s">
        <v>1961</v>
      </c>
      <c r="Y36" s="1279" t="s">
        <v>1962</v>
      </c>
      <c r="Z36" s="1279"/>
      <c r="AA36" s="489"/>
      <c r="AB36" s="582" t="s">
        <v>1961</v>
      </c>
      <c r="AC36" s="1279"/>
      <c r="AD36" s="1279"/>
      <c r="AE36" s="329"/>
      <c r="AF36" s="1279"/>
      <c r="AG36" s="1309">
        <v>11</v>
      </c>
      <c r="AH36" s="1275">
        <v>11</v>
      </c>
      <c r="AI36" s="1526" t="s">
        <v>1957</v>
      </c>
      <c r="AJ36" s="1293" t="s">
        <v>1958</v>
      </c>
      <c r="AK36" s="691" t="s">
        <v>1961</v>
      </c>
      <c r="AL36" s="563" t="s">
        <v>1961</v>
      </c>
      <c r="AM36" s="563" t="s">
        <v>1961</v>
      </c>
      <c r="AN36" s="563" t="s">
        <v>1961</v>
      </c>
      <c r="AO36" s="563" t="s">
        <v>1961</v>
      </c>
      <c r="AP36" s="563" t="s">
        <v>1961</v>
      </c>
      <c r="AQ36" s="698" t="s">
        <v>1961</v>
      </c>
      <c r="AR36" s="582" t="s">
        <v>1961</v>
      </c>
      <c r="AS36" s="563" t="s">
        <v>1961</v>
      </c>
      <c r="AT36" s="563" t="s">
        <v>1961</v>
      </c>
      <c r="AU36" s="563" t="s">
        <v>1961</v>
      </c>
      <c r="AV36" s="563" t="s">
        <v>1961</v>
      </c>
      <c r="AW36" s="563" t="s">
        <v>1961</v>
      </c>
      <c r="AX36" s="563" t="s">
        <v>1961</v>
      </c>
      <c r="AY36" s="563" t="s">
        <v>1961</v>
      </c>
      <c r="AZ36" s="563" t="s">
        <v>1961</v>
      </c>
      <c r="BA36" s="563" t="s">
        <v>1961</v>
      </c>
      <c r="BB36" s="563" t="s">
        <v>1961</v>
      </c>
      <c r="BC36" s="563" t="s">
        <v>1961</v>
      </c>
      <c r="BD36" s="563" t="s">
        <v>1961</v>
      </c>
      <c r="BE36" s="698" t="s">
        <v>1961</v>
      </c>
      <c r="BF36" s="582" t="s">
        <v>1961</v>
      </c>
      <c r="BG36" s="563" t="s">
        <v>1961</v>
      </c>
      <c r="BH36" s="815"/>
      <c r="BI36" s="1432">
        <v>11</v>
      </c>
      <c r="BJ36" s="823"/>
      <c r="BK36" s="1316"/>
      <c r="BL36" s="1323"/>
    </row>
    <row r="37" spans="1:64" ht="125.15" customHeight="1" x14ac:dyDescent="0.35">
      <c r="A37" s="1460"/>
      <c r="B37" s="1359"/>
      <c r="C37" s="1282"/>
      <c r="D37" s="1282"/>
      <c r="E37" s="1471"/>
      <c r="F37" s="1313" t="s">
        <v>1909</v>
      </c>
      <c r="G37" s="1314"/>
      <c r="H37" s="1314"/>
      <c r="I37" s="1314"/>
      <c r="J37" s="1314"/>
      <c r="K37" s="1314"/>
      <c r="L37" s="1314"/>
      <c r="M37" s="1314"/>
      <c r="N37" s="1315"/>
      <c r="O37" s="1282"/>
      <c r="P37" s="1308"/>
      <c r="Q37" s="328"/>
      <c r="R37" s="328"/>
      <c r="S37" s="1270"/>
      <c r="T37" s="1308"/>
      <c r="U37" s="328"/>
      <c r="V37" s="1270"/>
      <c r="W37" s="583"/>
      <c r="X37" s="585"/>
      <c r="Y37" s="1308"/>
      <c r="Z37" s="1308"/>
      <c r="AA37" s="583"/>
      <c r="AB37" s="585"/>
      <c r="AC37" s="1308"/>
      <c r="AD37" s="1308"/>
      <c r="AE37" s="328"/>
      <c r="AF37" s="1308"/>
      <c r="AG37" s="1310"/>
      <c r="AH37" s="1276"/>
      <c r="AI37" s="1527"/>
      <c r="AJ37" s="1295"/>
      <c r="AK37" s="699"/>
      <c r="AL37" s="663"/>
      <c r="AM37" s="663"/>
      <c r="AN37" s="663"/>
      <c r="AO37" s="663"/>
      <c r="AP37" s="663"/>
      <c r="AQ37" s="711"/>
      <c r="AR37" s="585"/>
      <c r="AS37" s="663"/>
      <c r="AT37" s="663"/>
      <c r="AU37" s="663"/>
      <c r="AV37" s="663"/>
      <c r="AW37" s="663"/>
      <c r="AX37" s="663"/>
      <c r="AY37" s="663"/>
      <c r="AZ37" s="663"/>
      <c r="BA37" s="663"/>
      <c r="BB37" s="663"/>
      <c r="BC37" s="663"/>
      <c r="BD37" s="663"/>
      <c r="BE37" s="711"/>
      <c r="BF37" s="585"/>
      <c r="BG37" s="663"/>
      <c r="BH37" s="817"/>
      <c r="BI37" s="1433"/>
      <c r="BJ37" s="823"/>
      <c r="BK37" s="1317"/>
      <c r="BL37" s="1324"/>
    </row>
    <row r="38" spans="1:64" ht="125.15" customHeight="1" x14ac:dyDescent="0.35">
      <c r="A38" s="1459">
        <v>12</v>
      </c>
      <c r="B38" s="1358" t="s">
        <v>1963</v>
      </c>
      <c r="C38" s="1281" t="s">
        <v>1964</v>
      </c>
      <c r="D38" s="1281" t="s">
        <v>1905</v>
      </c>
      <c r="E38" s="1470"/>
      <c r="F38" s="856"/>
      <c r="G38" s="857"/>
      <c r="H38" s="857"/>
      <c r="I38" s="857"/>
      <c r="J38" s="857"/>
      <c r="K38" s="857"/>
      <c r="L38" s="857"/>
      <c r="M38" s="857"/>
      <c r="N38" s="858"/>
      <c r="O38" s="1281" t="s">
        <v>1959</v>
      </c>
      <c r="P38" s="1281"/>
      <c r="Q38" s="329"/>
      <c r="R38" s="329"/>
      <c r="S38" s="1268"/>
      <c r="T38" s="1311"/>
      <c r="U38" s="329"/>
      <c r="V38" s="1268"/>
      <c r="W38" s="489"/>
      <c r="X38" s="582" t="s">
        <v>1965</v>
      </c>
      <c r="Y38" s="1281"/>
      <c r="Z38" s="1311"/>
      <c r="AA38" s="489"/>
      <c r="AB38" s="589" t="s">
        <v>1965</v>
      </c>
      <c r="AC38" s="1281"/>
      <c r="AD38" s="1311"/>
      <c r="AE38" s="329"/>
      <c r="AF38" s="851"/>
      <c r="AG38" s="1309">
        <v>12</v>
      </c>
      <c r="AH38" s="1275">
        <v>12</v>
      </c>
      <c r="AI38" s="1526" t="s">
        <v>1963</v>
      </c>
      <c r="AJ38" s="1293" t="s">
        <v>1964</v>
      </c>
      <c r="AK38" s="691" t="s">
        <v>1965</v>
      </c>
      <c r="AL38" s="563" t="s">
        <v>1965</v>
      </c>
      <c r="AM38" s="563" t="s">
        <v>1965</v>
      </c>
      <c r="AN38" s="563" t="s">
        <v>1965</v>
      </c>
      <c r="AO38" s="563" t="s">
        <v>1965</v>
      </c>
      <c r="AP38" s="563" t="s">
        <v>1965</v>
      </c>
      <c r="AQ38" s="698" t="s">
        <v>1965</v>
      </c>
      <c r="AR38" s="582" t="s">
        <v>1965</v>
      </c>
      <c r="AS38" s="563" t="s">
        <v>1965</v>
      </c>
      <c r="AT38" s="563" t="s">
        <v>1965</v>
      </c>
      <c r="AU38" s="563" t="s">
        <v>1965</v>
      </c>
      <c r="AV38" s="563" t="s">
        <v>1965</v>
      </c>
      <c r="AW38" s="563" t="s">
        <v>1965</v>
      </c>
      <c r="AX38" s="563" t="s">
        <v>1965</v>
      </c>
      <c r="AY38" s="563" t="s">
        <v>1965</v>
      </c>
      <c r="AZ38" s="563" t="s">
        <v>1965</v>
      </c>
      <c r="BA38" s="563" t="s">
        <v>1965</v>
      </c>
      <c r="BB38" s="563" t="s">
        <v>1965</v>
      </c>
      <c r="BC38" s="563" t="s">
        <v>1965</v>
      </c>
      <c r="BD38" s="563" t="s">
        <v>1965</v>
      </c>
      <c r="BE38" s="698" t="s">
        <v>1965</v>
      </c>
      <c r="BF38" s="582" t="s">
        <v>1965</v>
      </c>
      <c r="BG38" s="563" t="s">
        <v>1965</v>
      </c>
      <c r="BH38" s="888"/>
      <c r="BI38" s="1432">
        <v>12</v>
      </c>
      <c r="BJ38" s="823"/>
      <c r="BK38" s="1316"/>
      <c r="BL38" s="1323"/>
    </row>
    <row r="39" spans="1:64" ht="124.5" customHeight="1" x14ac:dyDescent="0.35">
      <c r="A39" s="1460"/>
      <c r="B39" s="1359"/>
      <c r="C39" s="1282"/>
      <c r="D39" s="1282"/>
      <c r="E39" s="1471"/>
      <c r="F39" s="1313" t="s">
        <v>1966</v>
      </c>
      <c r="G39" s="1314"/>
      <c r="H39" s="1314"/>
      <c r="I39" s="1314"/>
      <c r="J39" s="1314"/>
      <c r="K39" s="1314"/>
      <c r="L39" s="1314"/>
      <c r="M39" s="1314"/>
      <c r="N39" s="1315"/>
      <c r="O39" s="1282"/>
      <c r="P39" s="1282"/>
      <c r="Q39" s="328"/>
      <c r="R39" s="328"/>
      <c r="S39" s="1270"/>
      <c r="T39" s="1312"/>
      <c r="U39" s="328"/>
      <c r="V39" s="1270"/>
      <c r="W39" s="583"/>
      <c r="X39" s="585"/>
      <c r="Y39" s="1282"/>
      <c r="Z39" s="1312"/>
      <c r="AA39" s="583"/>
      <c r="AB39" s="585"/>
      <c r="AC39" s="1282"/>
      <c r="AD39" s="1312"/>
      <c r="AE39" s="328"/>
      <c r="AF39" s="1221"/>
      <c r="AG39" s="1310"/>
      <c r="AH39" s="1276"/>
      <c r="AI39" s="1527"/>
      <c r="AJ39" s="1295"/>
      <c r="AK39" s="699"/>
      <c r="AL39" s="663"/>
      <c r="AM39" s="663"/>
      <c r="AN39" s="663"/>
      <c r="AO39" s="663"/>
      <c r="AP39" s="663"/>
      <c r="AQ39" s="711"/>
      <c r="AR39" s="585"/>
      <c r="AS39" s="663"/>
      <c r="AT39" s="663"/>
      <c r="AU39" s="663"/>
      <c r="AV39" s="663"/>
      <c r="AW39" s="663"/>
      <c r="AX39" s="663"/>
      <c r="AY39" s="663"/>
      <c r="AZ39" s="663"/>
      <c r="BA39" s="663"/>
      <c r="BB39" s="663"/>
      <c r="BC39" s="663"/>
      <c r="BD39" s="663"/>
      <c r="BE39" s="711"/>
      <c r="BF39" s="585"/>
      <c r="BG39" s="663"/>
      <c r="BH39" s="903"/>
      <c r="BI39" s="1433"/>
      <c r="BJ39" s="823"/>
      <c r="BK39" s="1317"/>
      <c r="BL39" s="1324"/>
    </row>
    <row r="40" spans="1:64" ht="17.25" customHeight="1" x14ac:dyDescent="0.35">
      <c r="A40" s="821"/>
      <c r="B40" s="795"/>
      <c r="C40" s="819" t="s">
        <v>1967</v>
      </c>
      <c r="D40" s="302"/>
      <c r="E40" s="303"/>
      <c r="F40" s="303"/>
      <c r="G40" s="303"/>
      <c r="H40" s="303"/>
      <c r="I40" s="303"/>
      <c r="J40" s="303"/>
      <c r="K40" s="303"/>
      <c r="L40" s="303"/>
      <c r="M40" s="303"/>
      <c r="N40" s="307"/>
      <c r="O40" s="303"/>
      <c r="P40" s="302"/>
      <c r="Q40" s="305"/>
      <c r="R40" s="305"/>
      <c r="S40" s="306"/>
      <c r="T40" s="560"/>
      <c r="U40" s="305"/>
      <c r="V40" s="305"/>
      <c r="W40" s="506"/>
      <c r="X40" s="584"/>
      <c r="Y40" s="307"/>
      <c r="Z40" s="560"/>
      <c r="AA40" s="506"/>
      <c r="AB40" s="584"/>
      <c r="AC40" s="307"/>
      <c r="AD40" s="560"/>
      <c r="AE40" s="305"/>
      <c r="AF40" s="1157"/>
      <c r="AG40" s="1078"/>
      <c r="AH40" s="1079"/>
      <c r="AI40" s="1158"/>
      <c r="AJ40" s="822" t="s">
        <v>1967</v>
      </c>
      <c r="AK40" s="802"/>
      <c r="AL40" s="803"/>
      <c r="AM40" s="804"/>
      <c r="AN40" s="803"/>
      <c r="AO40" s="803"/>
      <c r="AP40" s="803"/>
      <c r="AQ40" s="804"/>
      <c r="AR40" s="805"/>
      <c r="AS40" s="803"/>
      <c r="AT40" s="803"/>
      <c r="AU40" s="803"/>
      <c r="AV40" s="803"/>
      <c r="AW40" s="803"/>
      <c r="AX40" s="803"/>
      <c r="AY40" s="803"/>
      <c r="AZ40" s="803"/>
      <c r="BA40" s="803"/>
      <c r="BB40" s="803"/>
      <c r="BC40" s="803"/>
      <c r="BD40" s="803"/>
      <c r="BE40" s="804"/>
      <c r="BF40" s="805"/>
      <c r="BG40" s="302"/>
      <c r="BH40" s="570"/>
      <c r="BI40" s="1078"/>
      <c r="BJ40" s="823"/>
      <c r="BK40" s="807"/>
      <c r="BL40" s="807"/>
    </row>
    <row r="41" spans="1:64" ht="125.15" customHeight="1" x14ac:dyDescent="0.35">
      <c r="A41" s="1459">
        <v>13</v>
      </c>
      <c r="B41" s="1358" t="s">
        <v>1968</v>
      </c>
      <c r="C41" s="1281" t="s">
        <v>1969</v>
      </c>
      <c r="D41" s="1281" t="s">
        <v>1905</v>
      </c>
      <c r="E41" s="1470"/>
      <c r="F41" s="851"/>
      <c r="G41" s="826"/>
      <c r="H41" s="826"/>
      <c r="I41" s="826"/>
      <c r="J41" s="826"/>
      <c r="K41" s="826"/>
      <c r="L41" s="852"/>
      <c r="M41" s="826"/>
      <c r="N41" s="828"/>
      <c r="O41" s="1281" t="s">
        <v>398</v>
      </c>
      <c r="P41" s="1281" t="s">
        <v>1970</v>
      </c>
      <c r="Q41" s="455"/>
      <c r="R41" s="324" t="s">
        <v>2186</v>
      </c>
      <c r="S41" s="1268" t="s">
        <v>2319</v>
      </c>
      <c r="T41" s="1268" t="s">
        <v>1971</v>
      </c>
      <c r="U41" s="329"/>
      <c r="V41" s="1268"/>
      <c r="W41" s="601"/>
      <c r="X41" s="588"/>
      <c r="Y41" s="1268" t="s">
        <v>1972</v>
      </c>
      <c r="Z41" s="1268" t="s">
        <v>1973</v>
      </c>
      <c r="AA41" s="489"/>
      <c r="AB41" s="589" t="s">
        <v>1974</v>
      </c>
      <c r="AC41" s="1268"/>
      <c r="AD41" s="1268" t="s">
        <v>1975</v>
      </c>
      <c r="AE41" s="329"/>
      <c r="AF41" s="1279"/>
      <c r="AG41" s="1309">
        <v>13</v>
      </c>
      <c r="AH41" s="1275">
        <v>13</v>
      </c>
      <c r="AI41" s="1526" t="s">
        <v>1968</v>
      </c>
      <c r="AJ41" s="1293" t="s">
        <v>1969</v>
      </c>
      <c r="AK41" s="1106"/>
      <c r="AL41" s="568"/>
      <c r="AM41" s="569" t="s">
        <v>1974</v>
      </c>
      <c r="AN41" s="569" t="s">
        <v>1974</v>
      </c>
      <c r="AO41" s="569" t="s">
        <v>1974</v>
      </c>
      <c r="AP41" s="569" t="s">
        <v>1974</v>
      </c>
      <c r="AQ41" s="643" t="s">
        <v>1974</v>
      </c>
      <c r="AR41" s="589" t="s">
        <v>1974</v>
      </c>
      <c r="AS41" s="569" t="s">
        <v>1974</v>
      </c>
      <c r="AT41" s="569" t="s">
        <v>1974</v>
      </c>
      <c r="AU41" s="569" t="s">
        <v>1974</v>
      </c>
      <c r="AV41" s="569" t="s">
        <v>1974</v>
      </c>
      <c r="AW41" s="569" t="s">
        <v>1974</v>
      </c>
      <c r="AX41" s="569" t="s">
        <v>1974</v>
      </c>
      <c r="AY41" s="569" t="s">
        <v>1974</v>
      </c>
      <c r="AZ41" s="569" t="s">
        <v>1974</v>
      </c>
      <c r="BA41" s="569" t="s">
        <v>1974</v>
      </c>
      <c r="BB41" s="569" t="s">
        <v>1974</v>
      </c>
      <c r="BC41" s="569" t="s">
        <v>1974</v>
      </c>
      <c r="BD41" s="569" t="s">
        <v>1974</v>
      </c>
      <c r="BE41" s="643" t="s">
        <v>1974</v>
      </c>
      <c r="BF41" s="589" t="s">
        <v>1974</v>
      </c>
      <c r="BG41" s="569" t="s">
        <v>1974</v>
      </c>
      <c r="BH41" s="708" t="s">
        <v>1974</v>
      </c>
      <c r="BI41" s="1432">
        <v>13</v>
      </c>
      <c r="BJ41" s="823"/>
      <c r="BK41" s="1316"/>
      <c r="BL41" s="1323"/>
    </row>
    <row r="42" spans="1:64" ht="125.15" customHeight="1" x14ac:dyDescent="0.35">
      <c r="A42" s="1460"/>
      <c r="B42" s="1359"/>
      <c r="C42" s="1282"/>
      <c r="D42" s="1282"/>
      <c r="E42" s="1471"/>
      <c r="F42" s="1313" t="s">
        <v>1976</v>
      </c>
      <c r="G42" s="1314"/>
      <c r="H42" s="1314"/>
      <c r="I42" s="1314"/>
      <c r="J42" s="1314"/>
      <c r="K42" s="1314"/>
      <c r="L42" s="1314"/>
      <c r="M42" s="1314"/>
      <c r="N42" s="1315"/>
      <c r="O42" s="1282"/>
      <c r="P42" s="1282"/>
      <c r="Q42" s="456">
        <f>SUM(AK42:BH42)</f>
        <v>1649310</v>
      </c>
      <c r="R42" s="456"/>
      <c r="S42" s="1270"/>
      <c r="T42" s="1270"/>
      <c r="U42" s="328"/>
      <c r="V42" s="1270"/>
      <c r="W42" s="571">
        <f>Q42</f>
        <v>1649310</v>
      </c>
      <c r="X42" s="599">
        <f>Q42</f>
        <v>1649310</v>
      </c>
      <c r="Y42" s="1270"/>
      <c r="Z42" s="1270"/>
      <c r="AA42" s="583"/>
      <c r="AB42" s="585"/>
      <c r="AC42" s="1270"/>
      <c r="AD42" s="1270"/>
      <c r="AE42" s="328"/>
      <c r="AF42" s="1308"/>
      <c r="AG42" s="1310"/>
      <c r="AH42" s="1276"/>
      <c r="AI42" s="1527"/>
      <c r="AJ42" s="1295"/>
      <c r="AK42" s="696">
        <v>1400000</v>
      </c>
      <c r="AL42" s="696">
        <v>249310</v>
      </c>
      <c r="AM42" s="699"/>
      <c r="AN42" s="699"/>
      <c r="AO42" s="699"/>
      <c r="AP42" s="699"/>
      <c r="AQ42" s="713"/>
      <c r="AR42" s="585"/>
      <c r="AS42" s="699"/>
      <c r="AT42" s="699"/>
      <c r="AU42" s="699"/>
      <c r="AV42" s="699"/>
      <c r="AW42" s="699"/>
      <c r="AX42" s="699"/>
      <c r="AY42" s="699"/>
      <c r="AZ42" s="699"/>
      <c r="BA42" s="699"/>
      <c r="BB42" s="699"/>
      <c r="BC42" s="699"/>
      <c r="BD42" s="699"/>
      <c r="BE42" s="713"/>
      <c r="BF42" s="585"/>
      <c r="BG42" s="699"/>
      <c r="BH42" s="714"/>
      <c r="BI42" s="1433"/>
      <c r="BJ42" s="823"/>
      <c r="BK42" s="1317"/>
      <c r="BL42" s="1324"/>
    </row>
    <row r="43" spans="1:64" ht="17.25" customHeight="1" x14ac:dyDescent="0.35">
      <c r="A43" s="821"/>
      <c r="B43" s="795"/>
      <c r="C43" s="796" t="s">
        <v>1977</v>
      </c>
      <c r="D43" s="302"/>
      <c r="E43" s="303"/>
      <c r="F43" s="303"/>
      <c r="G43" s="303"/>
      <c r="H43" s="303"/>
      <c r="I43" s="303"/>
      <c r="J43" s="303"/>
      <c r="K43" s="303"/>
      <c r="L43" s="303"/>
      <c r="M43" s="303"/>
      <c r="N43" s="307"/>
      <c r="O43" s="303"/>
      <c r="P43" s="302"/>
      <c r="Q43" s="305"/>
      <c r="R43" s="305"/>
      <c r="S43" s="306"/>
      <c r="T43" s="306"/>
      <c r="U43" s="305"/>
      <c r="V43" s="305"/>
      <c r="W43" s="506"/>
      <c r="X43" s="584"/>
      <c r="Y43" s="307"/>
      <c r="Z43" s="306"/>
      <c r="AA43" s="506"/>
      <c r="AB43" s="584"/>
      <c r="AC43" s="307"/>
      <c r="AD43" s="306"/>
      <c r="AE43" s="305"/>
      <c r="AF43" s="1157"/>
      <c r="AG43" s="1078"/>
      <c r="AH43" s="1079"/>
      <c r="AI43" s="1158"/>
      <c r="AJ43" s="801" t="s">
        <v>1977</v>
      </c>
      <c r="AK43" s="802"/>
      <c r="AL43" s="803"/>
      <c r="AM43" s="804"/>
      <c r="AN43" s="803"/>
      <c r="AO43" s="803"/>
      <c r="AP43" s="803"/>
      <c r="AQ43" s="804"/>
      <c r="AR43" s="805"/>
      <c r="AS43" s="803"/>
      <c r="AT43" s="803"/>
      <c r="AU43" s="803"/>
      <c r="AV43" s="803"/>
      <c r="AW43" s="803"/>
      <c r="AX43" s="803"/>
      <c r="AY43" s="803"/>
      <c r="AZ43" s="803"/>
      <c r="BA43" s="803"/>
      <c r="BB43" s="803"/>
      <c r="BC43" s="803"/>
      <c r="BD43" s="803"/>
      <c r="BE43" s="804"/>
      <c r="BF43" s="805"/>
      <c r="BG43" s="302"/>
      <c r="BH43" s="570"/>
      <c r="BI43" s="1078"/>
      <c r="BJ43" s="823"/>
      <c r="BK43" s="807"/>
      <c r="BL43" s="807"/>
    </row>
    <row r="44" spans="1:64" ht="125.15" customHeight="1" x14ac:dyDescent="0.35">
      <c r="A44" s="1459">
        <v>14</v>
      </c>
      <c r="B44" s="1358" t="s">
        <v>1978</v>
      </c>
      <c r="C44" s="1281" t="s">
        <v>1979</v>
      </c>
      <c r="D44" s="1281" t="s">
        <v>1905</v>
      </c>
      <c r="E44" s="1470"/>
      <c r="F44" s="851"/>
      <c r="G44" s="826"/>
      <c r="H44" s="826"/>
      <c r="I44" s="826"/>
      <c r="J44" s="826"/>
      <c r="K44" s="826"/>
      <c r="L44" s="852"/>
      <c r="M44" s="826"/>
      <c r="N44" s="828"/>
      <c r="O44" s="1281" t="s">
        <v>632</v>
      </c>
      <c r="P44" s="1281" t="s">
        <v>1980</v>
      </c>
      <c r="Q44" s="329"/>
      <c r="R44" s="329"/>
      <c r="S44" s="1268"/>
      <c r="T44" s="1268"/>
      <c r="U44" s="329"/>
      <c r="V44" s="1268"/>
      <c r="W44" s="489"/>
      <c r="X44" s="589" t="s">
        <v>1981</v>
      </c>
      <c r="Y44" s="1281" t="s">
        <v>1980</v>
      </c>
      <c r="Z44" s="1268"/>
      <c r="AA44" s="489"/>
      <c r="AB44" s="589" t="s">
        <v>1981</v>
      </c>
      <c r="AC44" s="1281"/>
      <c r="AD44" s="1268"/>
      <c r="AE44" s="329"/>
      <c r="AF44" s="1472"/>
      <c r="AG44" s="1309">
        <v>14</v>
      </c>
      <c r="AH44" s="1275">
        <v>14</v>
      </c>
      <c r="AI44" s="1526" t="s">
        <v>1978</v>
      </c>
      <c r="AJ44" s="1293" t="s">
        <v>1979</v>
      </c>
      <c r="AK44" s="600" t="s">
        <v>1981</v>
      </c>
      <c r="AL44" s="569" t="s">
        <v>1981</v>
      </c>
      <c r="AM44" s="569" t="s">
        <v>1981</v>
      </c>
      <c r="AN44" s="569" t="s">
        <v>1981</v>
      </c>
      <c r="AO44" s="569" t="s">
        <v>1981</v>
      </c>
      <c r="AP44" s="569" t="s">
        <v>1981</v>
      </c>
      <c r="AQ44" s="643" t="s">
        <v>1981</v>
      </c>
      <c r="AR44" s="589" t="s">
        <v>1981</v>
      </c>
      <c r="AS44" s="569" t="s">
        <v>1981</v>
      </c>
      <c r="AT44" s="569" t="s">
        <v>1981</v>
      </c>
      <c r="AU44" s="569" t="s">
        <v>1981</v>
      </c>
      <c r="AV44" s="569" t="s">
        <v>1981</v>
      </c>
      <c r="AW44" s="569" t="s">
        <v>1981</v>
      </c>
      <c r="AX44" s="569" t="s">
        <v>1981</v>
      </c>
      <c r="AY44" s="569" t="s">
        <v>1981</v>
      </c>
      <c r="AZ44" s="569" t="s">
        <v>1981</v>
      </c>
      <c r="BA44" s="569" t="s">
        <v>1981</v>
      </c>
      <c r="BB44" s="569" t="s">
        <v>1981</v>
      </c>
      <c r="BC44" s="569" t="s">
        <v>1981</v>
      </c>
      <c r="BD44" s="569" t="s">
        <v>1981</v>
      </c>
      <c r="BE44" s="643" t="s">
        <v>1981</v>
      </c>
      <c r="BF44" s="589" t="s">
        <v>1981</v>
      </c>
      <c r="BG44" s="569" t="s">
        <v>1981</v>
      </c>
      <c r="BH44" s="708" t="s">
        <v>1981</v>
      </c>
      <c r="BI44" s="1432">
        <v>14</v>
      </c>
      <c r="BJ44" s="823"/>
      <c r="BK44" s="1316"/>
      <c r="BL44" s="1323"/>
    </row>
    <row r="45" spans="1:64" ht="125.15" customHeight="1" thickBot="1" x14ac:dyDescent="0.4">
      <c r="A45" s="1460"/>
      <c r="B45" s="1362"/>
      <c r="C45" s="1302"/>
      <c r="D45" s="1302"/>
      <c r="E45" s="1485"/>
      <c r="F45" s="1355" t="s">
        <v>1982</v>
      </c>
      <c r="G45" s="1356"/>
      <c r="H45" s="1356"/>
      <c r="I45" s="1356"/>
      <c r="J45" s="1356"/>
      <c r="K45" s="1356"/>
      <c r="L45" s="1356"/>
      <c r="M45" s="1356"/>
      <c r="N45" s="1357"/>
      <c r="O45" s="1302"/>
      <c r="P45" s="1302"/>
      <c r="Q45" s="331"/>
      <c r="R45" s="331"/>
      <c r="S45" s="1269"/>
      <c r="T45" s="1269"/>
      <c r="U45" s="331"/>
      <c r="V45" s="1269"/>
      <c r="W45" s="626"/>
      <c r="X45" s="582"/>
      <c r="Y45" s="1302"/>
      <c r="Z45" s="1269"/>
      <c r="AA45" s="626"/>
      <c r="AB45" s="582"/>
      <c r="AC45" s="1302"/>
      <c r="AD45" s="1269"/>
      <c r="AE45" s="331"/>
      <c r="AF45" s="1484"/>
      <c r="AG45" s="1310"/>
      <c r="AH45" s="1276"/>
      <c r="AI45" s="1575"/>
      <c r="AJ45" s="1294"/>
      <c r="AK45" s="691"/>
      <c r="AL45" s="563"/>
      <c r="AM45" s="563"/>
      <c r="AN45" s="563"/>
      <c r="AO45" s="563"/>
      <c r="AP45" s="563"/>
      <c r="AQ45" s="698"/>
      <c r="AR45" s="582"/>
      <c r="AS45" s="563"/>
      <c r="AT45" s="563"/>
      <c r="AU45" s="563"/>
      <c r="AV45" s="563"/>
      <c r="AW45" s="563"/>
      <c r="AX45" s="563"/>
      <c r="AY45" s="563"/>
      <c r="AZ45" s="563"/>
      <c r="BA45" s="563"/>
      <c r="BB45" s="563"/>
      <c r="BC45" s="563"/>
      <c r="BD45" s="563"/>
      <c r="BE45" s="698"/>
      <c r="BF45" s="582"/>
      <c r="BG45" s="563"/>
      <c r="BH45" s="709"/>
      <c r="BI45" s="1433"/>
      <c r="BJ45" s="823"/>
      <c r="BK45" s="1317"/>
      <c r="BL45" s="1324"/>
    </row>
    <row r="46" spans="1:64" ht="99.9" customHeight="1" thickTop="1" x14ac:dyDescent="0.35">
      <c r="A46" s="1076"/>
      <c r="B46" s="1368"/>
      <c r="C46" s="1370" t="s">
        <v>1899</v>
      </c>
      <c r="D46" s="1347"/>
      <c r="E46" s="1347"/>
      <c r="F46" s="1347"/>
      <c r="G46" s="1347"/>
      <c r="H46" s="1347"/>
      <c r="I46" s="1347"/>
      <c r="J46" s="1347"/>
      <c r="K46" s="1347"/>
      <c r="L46" s="1347"/>
      <c r="M46" s="1347"/>
      <c r="N46" s="1347"/>
      <c r="O46" s="1347"/>
      <c r="P46" s="1347"/>
      <c r="Q46" s="1349" t="s">
        <v>1</v>
      </c>
      <c r="R46" s="1446" t="s">
        <v>2200</v>
      </c>
      <c r="S46" s="1337"/>
      <c r="T46" s="1337"/>
      <c r="U46" s="1351" t="s">
        <v>2</v>
      </c>
      <c r="V46" s="1337"/>
      <c r="W46" s="1542" t="s">
        <v>1898</v>
      </c>
      <c r="X46" s="1547" t="s">
        <v>1267</v>
      </c>
      <c r="Y46" s="1335"/>
      <c r="Z46" s="1337"/>
      <c r="AA46" s="1542" t="s">
        <v>506</v>
      </c>
      <c r="AB46" s="1547" t="s">
        <v>1740</v>
      </c>
      <c r="AC46" s="1335"/>
      <c r="AD46" s="1337"/>
      <c r="AE46" s="1501" t="s">
        <v>508</v>
      </c>
      <c r="AF46" s="1486"/>
      <c r="AG46" s="813"/>
      <c r="AH46" s="814"/>
      <c r="AI46" s="1332"/>
      <c r="AJ46" s="1370" t="s">
        <v>1899</v>
      </c>
      <c r="AK46" s="979" t="s">
        <v>2234</v>
      </c>
      <c r="AL46" s="977" t="s">
        <v>2235</v>
      </c>
      <c r="AM46" s="977" t="s">
        <v>2236</v>
      </c>
      <c r="AN46" s="977" t="s">
        <v>2237</v>
      </c>
      <c r="AO46" s="977" t="s">
        <v>2238</v>
      </c>
      <c r="AP46" s="977" t="s">
        <v>2239</v>
      </c>
      <c r="AQ46" s="978" t="s">
        <v>2240</v>
      </c>
      <c r="AR46" s="979" t="s">
        <v>2241</v>
      </c>
      <c r="AS46" s="977" t="s">
        <v>2242</v>
      </c>
      <c r="AT46" s="977" t="s">
        <v>2243</v>
      </c>
      <c r="AU46" s="977" t="s">
        <v>2244</v>
      </c>
      <c r="AV46" s="977" t="s">
        <v>2245</v>
      </c>
      <c r="AW46" s="977" t="s">
        <v>2246</v>
      </c>
      <c r="AX46" s="977" t="s">
        <v>2247</v>
      </c>
      <c r="AY46" s="977" t="s">
        <v>2248</v>
      </c>
      <c r="AZ46" s="977" t="s">
        <v>2249</v>
      </c>
      <c r="BA46" s="977" t="s">
        <v>2250</v>
      </c>
      <c r="BB46" s="977" t="s">
        <v>2251</v>
      </c>
      <c r="BC46" s="977" t="s">
        <v>2252</v>
      </c>
      <c r="BD46" s="977" t="s">
        <v>2253</v>
      </c>
      <c r="BE46" s="978" t="s">
        <v>2254</v>
      </c>
      <c r="BF46" s="979" t="s">
        <v>2255</v>
      </c>
      <c r="BG46" s="1343" t="s">
        <v>41</v>
      </c>
      <c r="BH46" s="1506" t="s">
        <v>42</v>
      </c>
      <c r="BI46" s="813"/>
      <c r="BJ46" s="823"/>
      <c r="BK46" s="1316"/>
      <c r="BL46" s="1316"/>
    </row>
    <row r="47" spans="1:64" s="793" customFormat="1" ht="50.15" customHeight="1" x14ac:dyDescent="0.35">
      <c r="A47" s="1105"/>
      <c r="B47" s="1369"/>
      <c r="C47" s="1371"/>
      <c r="D47" s="1348"/>
      <c r="E47" s="1348"/>
      <c r="F47" s="454"/>
      <c r="G47" s="454"/>
      <c r="H47" s="454"/>
      <c r="I47" s="454"/>
      <c r="J47" s="454"/>
      <c r="K47" s="454"/>
      <c r="L47" s="454"/>
      <c r="M47" s="454"/>
      <c r="N47" s="454"/>
      <c r="O47" s="1348"/>
      <c r="P47" s="1348"/>
      <c r="Q47" s="1350"/>
      <c r="R47" s="1447"/>
      <c r="S47" s="1338"/>
      <c r="T47" s="1338"/>
      <c r="U47" s="1352"/>
      <c r="V47" s="1338"/>
      <c r="W47" s="1543"/>
      <c r="X47" s="1548"/>
      <c r="Y47" s="1336"/>
      <c r="Z47" s="1338"/>
      <c r="AA47" s="1543"/>
      <c r="AB47" s="1548"/>
      <c r="AC47" s="1336"/>
      <c r="AD47" s="1338"/>
      <c r="AE47" s="1502"/>
      <c r="AF47" s="1487"/>
      <c r="AG47" s="781"/>
      <c r="AH47" s="782"/>
      <c r="AI47" s="1333"/>
      <c r="AJ47" s="1371"/>
      <c r="AK47" s="987">
        <v>8500</v>
      </c>
      <c r="AL47" s="982">
        <v>1500</v>
      </c>
      <c r="AM47" s="982">
        <v>2600</v>
      </c>
      <c r="AN47" s="983">
        <v>750</v>
      </c>
      <c r="AO47" s="983" t="s">
        <v>48</v>
      </c>
      <c r="AP47" s="982">
        <v>2100</v>
      </c>
      <c r="AQ47" s="984">
        <v>1050</v>
      </c>
      <c r="AR47" s="985">
        <v>550</v>
      </c>
      <c r="AS47" s="983">
        <v>70</v>
      </c>
      <c r="AT47" s="983">
        <v>30</v>
      </c>
      <c r="AU47" s="983">
        <v>35</v>
      </c>
      <c r="AV47" s="983">
        <v>35</v>
      </c>
      <c r="AW47" s="983">
        <v>20</v>
      </c>
      <c r="AX47" s="983">
        <v>16</v>
      </c>
      <c r="AY47" s="983">
        <v>15</v>
      </c>
      <c r="AZ47" s="983">
        <v>13</v>
      </c>
      <c r="BA47" s="983">
        <v>10</v>
      </c>
      <c r="BB47" s="983">
        <v>10</v>
      </c>
      <c r="BC47" s="983">
        <v>10</v>
      </c>
      <c r="BD47" s="983">
        <v>10</v>
      </c>
      <c r="BE47" s="986">
        <v>10</v>
      </c>
      <c r="BF47" s="987">
        <v>2120</v>
      </c>
      <c r="BG47" s="1344"/>
      <c r="BH47" s="1507"/>
      <c r="BI47" s="781"/>
      <c r="BJ47" s="823"/>
      <c r="BK47" s="1317"/>
      <c r="BL47" s="1317"/>
    </row>
    <row r="48" spans="1:64" ht="17.25" customHeight="1" thickBot="1" x14ac:dyDescent="0.4">
      <c r="A48" s="1077"/>
      <c r="B48" s="988"/>
      <c r="C48" s="573"/>
      <c r="D48" s="573"/>
      <c r="E48" s="989" t="s">
        <v>857</v>
      </c>
      <c r="F48" s="574"/>
      <c r="G48" s="574"/>
      <c r="H48" s="574"/>
      <c r="I48" s="574"/>
      <c r="J48" s="574"/>
      <c r="K48" s="574"/>
      <c r="L48" s="574"/>
      <c r="M48" s="574"/>
      <c r="N48" s="578"/>
      <c r="O48" s="574"/>
      <c r="P48" s="573"/>
      <c r="Q48" s="590"/>
      <c r="R48" s="595"/>
      <c r="S48" s="592"/>
      <c r="T48" s="591"/>
      <c r="U48" s="590"/>
      <c r="V48" s="595"/>
      <c r="W48" s="595"/>
      <c r="X48" s="596"/>
      <c r="Y48" s="594"/>
      <c r="Z48" s="591"/>
      <c r="AA48" s="595"/>
      <c r="AB48" s="596"/>
      <c r="AC48" s="594"/>
      <c r="AD48" s="591"/>
      <c r="AE48" s="590"/>
      <c r="AF48" s="990"/>
      <c r="AG48" s="798"/>
      <c r="AH48" s="770"/>
      <c r="AI48" s="1222"/>
      <c r="AJ48" s="992" t="s">
        <v>857</v>
      </c>
      <c r="AK48" s="1223"/>
      <c r="AL48" s="1216"/>
      <c r="AM48" s="1217"/>
      <c r="AN48" s="1216"/>
      <c r="AO48" s="1216"/>
      <c r="AP48" s="1216"/>
      <c r="AQ48" s="1217"/>
      <c r="AR48" s="1215"/>
      <c r="AS48" s="1216"/>
      <c r="AT48" s="1216"/>
      <c r="AU48" s="1216"/>
      <c r="AV48" s="1216"/>
      <c r="AW48" s="1216"/>
      <c r="AX48" s="1216"/>
      <c r="AY48" s="1216"/>
      <c r="AZ48" s="1216"/>
      <c r="BA48" s="1216"/>
      <c r="BB48" s="1216"/>
      <c r="BC48" s="1216"/>
      <c r="BD48" s="1216"/>
      <c r="BE48" s="1217"/>
      <c r="BF48" s="1215"/>
      <c r="BG48" s="573"/>
      <c r="BH48" s="580"/>
      <c r="BI48" s="769"/>
      <c r="BJ48" s="823"/>
      <c r="BK48" s="807"/>
      <c r="BL48" s="807"/>
    </row>
    <row r="49" spans="1:64" s="1012" customFormat="1" ht="19" thickTop="1" x14ac:dyDescent="0.35">
      <c r="A49" s="821">
        <v>15</v>
      </c>
      <c r="B49" s="1000"/>
      <c r="C49" s="1000"/>
      <c r="D49" s="1000"/>
      <c r="E49" s="1001" t="s">
        <v>2208</v>
      </c>
      <c r="F49" s="1002"/>
      <c r="G49" s="1002"/>
      <c r="H49" s="1002"/>
      <c r="I49" s="1002"/>
      <c r="J49" s="1002"/>
      <c r="K49" s="1002"/>
      <c r="L49" s="1002"/>
      <c r="M49" s="1002"/>
      <c r="N49" s="1002"/>
      <c r="O49" s="1003"/>
      <c r="P49" s="1002"/>
      <c r="Q49" s="1004">
        <f>Q7+Q10+Q12+Q14+Q17+Q19+Q21+Q24+Q32+Q34+Q37+Q39+Q42+Q45</f>
        <v>62149310</v>
      </c>
      <c r="R49" s="1004">
        <f>Q17+Q32+Q42</f>
        <v>62149310</v>
      </c>
      <c r="S49" s="1005"/>
      <c r="T49" s="1005"/>
      <c r="U49" s="1006"/>
      <c r="V49" s="1005"/>
      <c r="W49" s="1009"/>
      <c r="X49" s="1006"/>
      <c r="Y49" s="1010"/>
      <c r="Z49" s="1005"/>
      <c r="AA49" s="1009"/>
      <c r="AB49" s="1006"/>
      <c r="AC49" s="1010"/>
      <c r="AD49" s="1005"/>
      <c r="AE49" s="1009"/>
      <c r="AF49" s="1011"/>
      <c r="AG49" s="821">
        <v>15</v>
      </c>
      <c r="AH49" s="758"/>
      <c r="AI49" s="1011"/>
      <c r="AJ49" s="1011"/>
      <c r="AK49" s="1006"/>
      <c r="AL49" s="1007"/>
      <c r="AM49" s="1007"/>
      <c r="AN49" s="1007"/>
      <c r="AO49" s="1007"/>
      <c r="AP49" s="1007"/>
      <c r="AQ49" s="1007"/>
      <c r="AR49" s="1007"/>
      <c r="AS49" s="1007"/>
      <c r="AT49" s="1007"/>
      <c r="AU49" s="1007"/>
      <c r="AV49" s="1007"/>
      <c r="AW49" s="1007"/>
      <c r="AX49" s="1007"/>
      <c r="AY49" s="1007"/>
      <c r="AZ49" s="1007"/>
      <c r="BA49" s="1007"/>
      <c r="BB49" s="1007"/>
      <c r="BC49" s="1007"/>
      <c r="BD49" s="1007"/>
      <c r="BE49" s="1007"/>
      <c r="BF49" s="1007"/>
      <c r="BG49" s="1007"/>
      <c r="BH49" s="1007"/>
      <c r="BI49" s="758"/>
      <c r="BJ49" s="860"/>
      <c r="BK49" s="1325"/>
      <c r="BL49" s="1512"/>
    </row>
    <row r="50" spans="1:64" s="1012" customFormat="1" ht="18.5" x14ac:dyDescent="0.35">
      <c r="A50" s="821">
        <v>16</v>
      </c>
      <c r="B50" s="1013"/>
      <c r="C50" s="1014"/>
      <c r="D50" s="1014"/>
      <c r="E50" s="1015" t="s">
        <v>859</v>
      </c>
      <c r="F50" s="1016"/>
      <c r="G50" s="1016"/>
      <c r="H50" s="1016"/>
      <c r="I50" s="1016"/>
      <c r="J50" s="1016"/>
      <c r="K50" s="1016"/>
      <c r="L50" s="1016"/>
      <c r="M50" s="1016"/>
      <c r="N50" s="1016"/>
      <c r="O50" s="1017"/>
      <c r="P50" s="1018"/>
      <c r="Q50" s="1016"/>
      <c r="R50" s="1016"/>
      <c r="S50" s="1018"/>
      <c r="T50" s="1013"/>
      <c r="U50" s="1019">
        <f>U7+U10+U12+U14+U17+U19+U21+U24+U32+U34+U37+U39+U42+U45</f>
        <v>0</v>
      </c>
      <c r="V50" s="1020"/>
      <c r="W50" s="1113"/>
      <c r="X50" s="1113"/>
      <c r="Y50" s="1020"/>
      <c r="AA50" s="1023"/>
      <c r="AB50" s="1113"/>
      <c r="AC50" s="1020"/>
      <c r="AE50" s="1023"/>
      <c r="AG50" s="821">
        <v>16</v>
      </c>
      <c r="AH50" s="758"/>
      <c r="AJ50" s="1024"/>
      <c r="AK50" s="1023"/>
      <c r="AL50" s="1025"/>
      <c r="AM50" s="1025"/>
      <c r="AN50" s="1025"/>
      <c r="AO50" s="1025"/>
      <c r="AP50" s="1025"/>
      <c r="AQ50" s="1025"/>
      <c r="AR50" s="1025"/>
      <c r="AS50" s="1025"/>
      <c r="AT50" s="1025"/>
      <c r="AU50" s="1025"/>
      <c r="AV50" s="1025"/>
      <c r="AW50" s="1025"/>
      <c r="AX50" s="1025"/>
      <c r="AY50" s="1025"/>
      <c r="AZ50" s="1025"/>
      <c r="BA50" s="1025"/>
      <c r="BB50" s="1025"/>
      <c r="BC50" s="1025"/>
      <c r="BD50" s="1025"/>
      <c r="BE50" s="1025"/>
      <c r="BF50" s="1025"/>
      <c r="BG50" s="1025"/>
      <c r="BH50" s="1025"/>
      <c r="BI50" s="758"/>
      <c r="BJ50" s="791"/>
      <c r="BK50" s="1325"/>
      <c r="BL50" s="1512"/>
    </row>
    <row r="51" spans="1:64" s="1012" customFormat="1" ht="18.5" x14ac:dyDescent="0.35">
      <c r="A51" s="821">
        <v>17</v>
      </c>
      <c r="B51" s="1026"/>
      <c r="C51" s="1026"/>
      <c r="D51" s="1026"/>
      <c r="E51" s="1027" t="s">
        <v>860</v>
      </c>
      <c r="F51" s="1028"/>
      <c r="G51" s="1028"/>
      <c r="H51" s="1028"/>
      <c r="I51" s="1028"/>
      <c r="J51" s="1028"/>
      <c r="K51" s="1028"/>
      <c r="L51" s="1028"/>
      <c r="M51" s="1028"/>
      <c r="N51" s="1028"/>
      <c r="O51" s="1029"/>
      <c r="P51" s="1030"/>
      <c r="Q51" s="1028"/>
      <c r="R51" s="1028"/>
      <c r="S51" s="1030"/>
      <c r="T51" s="1167"/>
      <c r="U51" s="1028"/>
      <c r="V51" s="1028"/>
      <c r="W51" s="1114">
        <f>W7+W10+W12+W14+W17+W19+W21+W24+W32+W34+W37+W39+W42+W45</f>
        <v>62149310</v>
      </c>
      <c r="X51" s="1115"/>
      <c r="Y51" s="1034"/>
      <c r="Z51" s="1033"/>
      <c r="AA51" s="1114">
        <f>AA7+AA10+AA12+AA14+AA17+AA19+AA21+AA24+AA32+AA34+AA37+AA39+AA42+AA45</f>
        <v>37800000</v>
      </c>
      <c r="AB51" s="1115"/>
      <c r="AC51" s="1034"/>
      <c r="AD51" s="1033"/>
      <c r="AE51" s="1114">
        <f>AE7+AE10+AE12+AE14+AE17+AE19+AE21+AE24+AE32+AE34+AE37+AE39+AE42+AE45</f>
        <v>37800000</v>
      </c>
      <c r="AF51" s="1011"/>
      <c r="AG51" s="821">
        <v>17</v>
      </c>
      <c r="AH51" s="881"/>
      <c r="AI51" s="1011"/>
      <c r="AJ51" s="1011"/>
      <c r="AK51" s="1006"/>
      <c r="AL51" s="1007"/>
      <c r="AM51" s="1007"/>
      <c r="AN51" s="1007"/>
      <c r="AO51" s="1007"/>
      <c r="AP51" s="1007"/>
      <c r="AQ51" s="1007"/>
      <c r="AR51" s="1007"/>
      <c r="AS51" s="1007"/>
      <c r="AT51" s="1007"/>
      <c r="AU51" s="1007"/>
      <c r="AV51" s="1007"/>
      <c r="AW51" s="1007"/>
      <c r="AX51" s="1007"/>
      <c r="AY51" s="1007"/>
      <c r="AZ51" s="1007"/>
      <c r="BA51" s="1007"/>
      <c r="BB51" s="1007"/>
      <c r="BC51" s="1007"/>
      <c r="BD51" s="1007"/>
      <c r="BE51" s="1007"/>
      <c r="BF51" s="1007"/>
      <c r="BG51" s="1007"/>
      <c r="BH51" s="1007"/>
      <c r="BI51" s="881"/>
      <c r="BJ51" s="823"/>
      <c r="BK51" s="1325"/>
      <c r="BL51" s="1512"/>
    </row>
    <row r="52" spans="1:64" s="1012" customFormat="1" ht="18.5" x14ac:dyDescent="0.35">
      <c r="A52" s="821">
        <v>18</v>
      </c>
      <c r="B52" s="1036"/>
      <c r="C52" s="1036"/>
      <c r="D52" s="1036"/>
      <c r="E52" s="1037" t="s">
        <v>861</v>
      </c>
      <c r="F52" s="1038"/>
      <c r="G52" s="1038"/>
      <c r="H52" s="1038"/>
      <c r="I52" s="1038"/>
      <c r="J52" s="1038"/>
      <c r="K52" s="1038"/>
      <c r="L52" s="1038"/>
      <c r="M52" s="1038"/>
      <c r="N52" s="1038"/>
      <c r="O52" s="1039"/>
      <c r="P52" s="1040"/>
      <c r="Q52" s="1038"/>
      <c r="R52" s="1038"/>
      <c r="S52" s="1040"/>
      <c r="T52" s="1224"/>
      <c r="U52" s="1038"/>
      <c r="V52" s="1038"/>
      <c r="W52" s="1038"/>
      <c r="X52" s="1041">
        <f>X7+X10+X12+X14+X17+X19+X21+X24+X32+X34+X37+X39+X42+X45</f>
        <v>24349310</v>
      </c>
      <c r="Y52" s="1155"/>
      <c r="Z52" s="1168"/>
      <c r="AA52" s="1043"/>
      <c r="AB52" s="1041">
        <f>AB7+AB10+AB12+AB14+AB17+AB19+AB21+AB24+AB32+AB34+AB37+AB39+AB42+AB45</f>
        <v>0</v>
      </c>
      <c r="AC52" s="1225"/>
      <c r="AE52" s="1116"/>
      <c r="AG52" s="821">
        <v>18</v>
      </c>
      <c r="AH52" s="821">
        <v>18</v>
      </c>
      <c r="AI52" s="1036"/>
      <c r="AJ52" s="1037" t="s">
        <v>862</v>
      </c>
      <c r="AK52" s="1117">
        <f>AK7+AK10+AK12+AK14+AK17+AK19+AK21+AK24+AK32+AK34+AK37+AK39+AK42+AK45</f>
        <v>1400000</v>
      </c>
      <c r="AL52" s="1117">
        <f t="shared" ref="AL52:BH52" si="0">AL7+AL10+AL12+AL14+AL17+AL19+AL21+AL24+AL32+AL34+AL37+AL39+AL42+AL45</f>
        <v>249310</v>
      </c>
      <c r="AM52" s="1117">
        <f t="shared" si="0"/>
        <v>0</v>
      </c>
      <c r="AN52" s="1117">
        <f t="shared" si="0"/>
        <v>0</v>
      </c>
      <c r="AO52" s="1117">
        <f t="shared" si="0"/>
        <v>22700000</v>
      </c>
      <c r="AP52" s="1117">
        <f t="shared" si="0"/>
        <v>0</v>
      </c>
      <c r="AQ52" s="1117">
        <f t="shared" si="0"/>
        <v>0</v>
      </c>
      <c r="AR52" s="1117">
        <f t="shared" si="0"/>
        <v>0</v>
      </c>
      <c r="AS52" s="1117">
        <f t="shared" si="0"/>
        <v>0</v>
      </c>
      <c r="AT52" s="1117">
        <f t="shared" si="0"/>
        <v>0</v>
      </c>
      <c r="AU52" s="1117">
        <f t="shared" si="0"/>
        <v>0</v>
      </c>
      <c r="AV52" s="1117">
        <f t="shared" si="0"/>
        <v>0</v>
      </c>
      <c r="AW52" s="1117">
        <f t="shared" si="0"/>
        <v>0</v>
      </c>
      <c r="AX52" s="1117">
        <f t="shared" si="0"/>
        <v>0</v>
      </c>
      <c r="AY52" s="1117">
        <f t="shared" si="0"/>
        <v>0</v>
      </c>
      <c r="AZ52" s="1117">
        <f t="shared" si="0"/>
        <v>0</v>
      </c>
      <c r="BA52" s="1117">
        <f t="shared" si="0"/>
        <v>0</v>
      </c>
      <c r="BB52" s="1117">
        <f t="shared" si="0"/>
        <v>0</v>
      </c>
      <c r="BC52" s="1117">
        <f t="shared" si="0"/>
        <v>0</v>
      </c>
      <c r="BD52" s="1117">
        <f t="shared" si="0"/>
        <v>0</v>
      </c>
      <c r="BE52" s="1117">
        <f t="shared" si="0"/>
        <v>0</v>
      </c>
      <c r="BF52" s="1117">
        <f t="shared" si="0"/>
        <v>0</v>
      </c>
      <c r="BG52" s="1117">
        <f t="shared" si="0"/>
        <v>0</v>
      </c>
      <c r="BH52" s="1117">
        <f t="shared" si="0"/>
        <v>0</v>
      </c>
      <c r="BI52" s="821">
        <v>18</v>
      </c>
      <c r="BJ52" s="823"/>
      <c r="BK52" s="1325"/>
      <c r="BL52" s="1512"/>
    </row>
    <row r="53" spans="1:64" s="1012" customFormat="1" ht="15" customHeight="1" x14ac:dyDescent="0.35">
      <c r="A53" s="758"/>
      <c r="B53" s="1072" t="s">
        <v>449</v>
      </c>
      <c r="C53" s="1072" t="s">
        <v>450</v>
      </c>
      <c r="D53" s="1072" t="s">
        <v>451</v>
      </c>
      <c r="E53" s="1072" t="s">
        <v>452</v>
      </c>
      <c r="F53" s="1464" t="s">
        <v>453</v>
      </c>
      <c r="G53" s="1464"/>
      <c r="H53" s="1464"/>
      <c r="I53" s="1464"/>
      <c r="J53" s="1464"/>
      <c r="K53" s="1464"/>
      <c r="L53" s="1464"/>
      <c r="M53" s="1464"/>
      <c r="N53" s="1464"/>
      <c r="O53" s="1072" t="s">
        <v>454</v>
      </c>
      <c r="P53" s="1072" t="s">
        <v>455</v>
      </c>
      <c r="Q53" s="1072" t="s">
        <v>456</v>
      </c>
      <c r="R53" s="1072"/>
      <c r="S53" s="1072" t="s">
        <v>457</v>
      </c>
      <c r="T53" s="1072" t="s">
        <v>458</v>
      </c>
      <c r="U53" s="1072" t="s">
        <v>459</v>
      </c>
      <c r="V53" s="1072" t="s">
        <v>460</v>
      </c>
      <c r="W53" s="1072" t="s">
        <v>461</v>
      </c>
      <c r="X53" s="1072" t="s">
        <v>242</v>
      </c>
      <c r="Y53" s="1072" t="s">
        <v>462</v>
      </c>
      <c r="Z53" s="1072" t="s">
        <v>463</v>
      </c>
      <c r="AA53" s="1072" t="s">
        <v>464</v>
      </c>
      <c r="AB53" s="1072" t="s">
        <v>465</v>
      </c>
      <c r="AC53" s="1072" t="s">
        <v>466</v>
      </c>
      <c r="AD53" s="1072" t="s">
        <v>467</v>
      </c>
      <c r="AE53" s="1072" t="s">
        <v>468</v>
      </c>
      <c r="AF53" s="1072" t="s">
        <v>469</v>
      </c>
      <c r="AG53" s="758"/>
      <c r="AH53" s="758"/>
      <c r="AI53" s="1072" t="s">
        <v>449</v>
      </c>
      <c r="AJ53" s="1072" t="s">
        <v>450</v>
      </c>
      <c r="AK53" s="1072" t="s">
        <v>471</v>
      </c>
      <c r="AL53" s="1072" t="s">
        <v>472</v>
      </c>
      <c r="AM53" s="1072" t="s">
        <v>473</v>
      </c>
      <c r="AN53" s="1072" t="s">
        <v>474</v>
      </c>
      <c r="AO53" s="1072" t="s">
        <v>475</v>
      </c>
      <c r="AP53" s="1072" t="s">
        <v>476</v>
      </c>
      <c r="AQ53" s="1072" t="s">
        <v>477</v>
      </c>
      <c r="AR53" s="1072" t="s">
        <v>478</v>
      </c>
      <c r="AS53" s="1072" t="s">
        <v>479</v>
      </c>
      <c r="AT53" s="1072" t="s">
        <v>480</v>
      </c>
      <c r="AU53" s="1072" t="s">
        <v>481</v>
      </c>
      <c r="AV53" s="1072" t="s">
        <v>482</v>
      </c>
      <c r="AW53" s="1072" t="s">
        <v>483</v>
      </c>
      <c r="AX53" s="1072" t="s">
        <v>484</v>
      </c>
      <c r="AY53" s="1072" t="s">
        <v>485</v>
      </c>
      <c r="AZ53" s="1072" t="s">
        <v>486</v>
      </c>
      <c r="BA53" s="1072" t="s">
        <v>487</v>
      </c>
      <c r="BB53" s="1072" t="s">
        <v>488</v>
      </c>
      <c r="BC53" s="1072" t="s">
        <v>489</v>
      </c>
      <c r="BD53" s="1072" t="s">
        <v>490</v>
      </c>
      <c r="BE53" s="1072" t="s">
        <v>491</v>
      </c>
      <c r="BF53" s="1072" t="s">
        <v>492</v>
      </c>
      <c r="BG53" s="1072" t="s">
        <v>493</v>
      </c>
      <c r="BH53" s="1072" t="s">
        <v>494</v>
      </c>
      <c r="BI53" s="758"/>
      <c r="BJ53" s="889"/>
      <c r="BK53" s="1325"/>
      <c r="BL53" s="1512"/>
    </row>
    <row r="54" spans="1:64" s="1012" customFormat="1" ht="18.5" x14ac:dyDescent="0.35">
      <c r="A54" s="758"/>
      <c r="E54" s="1020"/>
      <c r="F54" s="1020"/>
      <c r="G54" s="1020"/>
      <c r="H54" s="1020"/>
      <c r="I54" s="1020"/>
      <c r="J54" s="1020"/>
      <c r="K54" s="1020"/>
      <c r="L54" s="1020"/>
      <c r="M54" s="1020"/>
      <c r="N54" s="1020"/>
      <c r="O54" s="1020"/>
      <c r="Q54" s="1020"/>
      <c r="R54" s="1020"/>
      <c r="U54" s="1020"/>
      <c r="V54" s="1020"/>
      <c r="W54" s="1020"/>
      <c r="X54" s="1020"/>
      <c r="Y54" s="1020"/>
      <c r="AB54" s="1020"/>
      <c r="AC54" s="1020"/>
      <c r="AG54" s="758"/>
      <c r="AH54" s="758"/>
      <c r="BI54" s="758"/>
      <c r="BK54" s="761"/>
      <c r="BL54" s="1219"/>
    </row>
    <row r="55" spans="1:64" x14ac:dyDescent="0.35">
      <c r="AK55" s="928"/>
      <c r="AL55" s="1060"/>
      <c r="AM55" s="928"/>
      <c r="AN55" s="928"/>
      <c r="AO55" s="928"/>
      <c r="AP55" s="928"/>
      <c r="AQ55" s="928"/>
      <c r="AR55" s="928"/>
      <c r="AS55" s="928"/>
      <c r="AT55" s="928"/>
      <c r="AU55" s="928"/>
      <c r="AV55" s="928"/>
      <c r="AW55" s="928"/>
      <c r="AX55" s="928"/>
      <c r="AY55" s="928"/>
      <c r="AZ55" s="928"/>
      <c r="BA55" s="928"/>
      <c r="BB55" s="928"/>
      <c r="BC55" s="928"/>
      <c r="BD55" s="928"/>
      <c r="BE55" s="928"/>
      <c r="BF55" s="1060"/>
      <c r="BK55" s="1556"/>
      <c r="BL55" s="1556"/>
    </row>
    <row r="56" spans="1:64" x14ac:dyDescent="0.35">
      <c r="AK56" s="928"/>
      <c r="AL56" s="1060"/>
      <c r="AM56" s="928"/>
      <c r="AN56" s="928"/>
      <c r="AO56" s="928"/>
      <c r="AP56" s="928"/>
      <c r="AQ56" s="928"/>
      <c r="AR56" s="928"/>
      <c r="AS56" s="928"/>
      <c r="AT56" s="928"/>
      <c r="AU56" s="928"/>
      <c r="AV56" s="928"/>
      <c r="AW56" s="928"/>
      <c r="AX56" s="928"/>
      <c r="AY56" s="928"/>
      <c r="AZ56" s="928"/>
      <c r="BA56" s="928"/>
      <c r="BB56" s="928"/>
      <c r="BC56" s="928"/>
      <c r="BD56" s="928"/>
      <c r="BE56" s="928"/>
      <c r="BF56" s="1060"/>
      <c r="BK56" s="1556"/>
      <c r="BL56" s="1556"/>
    </row>
    <row r="57" spans="1:64" x14ac:dyDescent="0.35">
      <c r="AK57" s="928"/>
      <c r="AL57" s="1060"/>
      <c r="AM57" s="928"/>
      <c r="AN57" s="928"/>
      <c r="AO57" s="928"/>
      <c r="AP57" s="928"/>
      <c r="AQ57" s="928"/>
      <c r="AR57" s="928"/>
      <c r="AS57" s="928"/>
      <c r="AT57" s="928"/>
      <c r="AU57" s="928"/>
      <c r="AV57" s="928"/>
      <c r="AW57" s="928"/>
      <c r="AX57" s="928"/>
      <c r="AY57" s="928"/>
      <c r="AZ57" s="928"/>
      <c r="BA57" s="928"/>
      <c r="BB57" s="928"/>
      <c r="BC57" s="928"/>
      <c r="BD57" s="928"/>
      <c r="BE57" s="928"/>
      <c r="BF57" s="1060"/>
    </row>
    <row r="58" spans="1:64" x14ac:dyDescent="0.35">
      <c r="AK58" s="928"/>
      <c r="AL58" s="1060"/>
      <c r="AM58" s="1064"/>
      <c r="AN58" s="1065"/>
      <c r="AO58" s="1064"/>
      <c r="AP58" s="1065"/>
      <c r="AQ58" s="1066"/>
      <c r="AR58" s="928"/>
      <c r="AS58" s="928"/>
      <c r="AT58" s="928"/>
      <c r="AU58" s="928"/>
      <c r="AV58" s="928"/>
      <c r="AW58" s="928"/>
      <c r="AX58" s="928"/>
      <c r="AY58" s="928"/>
      <c r="AZ58" s="928"/>
      <c r="BA58" s="928"/>
      <c r="BB58" s="928"/>
      <c r="BC58" s="928"/>
      <c r="BD58" s="928"/>
      <c r="BE58" s="928"/>
      <c r="BF58" s="1060"/>
      <c r="BK58" s="1556"/>
      <c r="BL58" s="1556"/>
    </row>
    <row r="59" spans="1:64" x14ac:dyDescent="0.35">
      <c r="AK59" s="928"/>
      <c r="AL59" s="1060"/>
      <c r="AM59" s="1066"/>
      <c r="AN59" s="1066"/>
      <c r="AO59" s="1064"/>
      <c r="AP59" s="1066"/>
      <c r="AQ59" s="1066"/>
      <c r="AR59" s="1066"/>
      <c r="AS59" s="928"/>
      <c r="AT59" s="928"/>
      <c r="AU59" s="928"/>
      <c r="AV59" s="928"/>
      <c r="AW59" s="928"/>
      <c r="AX59" s="928"/>
      <c r="AY59" s="928"/>
      <c r="AZ59" s="928"/>
      <c r="BA59" s="928"/>
      <c r="BB59" s="928"/>
      <c r="BC59" s="928"/>
      <c r="BD59" s="928"/>
      <c r="BE59" s="928"/>
      <c r="BF59" s="1060"/>
      <c r="BK59" s="1556"/>
      <c r="BL59" s="1556"/>
    </row>
    <row r="60" spans="1:64" x14ac:dyDescent="0.35">
      <c r="AK60" s="928"/>
      <c r="AL60" s="1060"/>
      <c r="AM60" s="928"/>
      <c r="AN60" s="928"/>
      <c r="AO60" s="928"/>
      <c r="AP60" s="928"/>
      <c r="AQ60" s="928"/>
      <c r="AR60" s="928"/>
      <c r="AS60" s="928"/>
      <c r="AT60" s="928"/>
      <c r="AU60" s="928"/>
      <c r="AV60" s="928"/>
      <c r="AW60" s="928"/>
      <c r="AX60" s="928"/>
      <c r="AY60" s="928"/>
      <c r="AZ60" s="928"/>
      <c r="BA60" s="928"/>
      <c r="BB60" s="928"/>
      <c r="BC60" s="928"/>
      <c r="BD60" s="928"/>
      <c r="BE60" s="928"/>
      <c r="BF60" s="1060"/>
    </row>
    <row r="61" spans="1:64" x14ac:dyDescent="0.35">
      <c r="AK61" s="928"/>
      <c r="AL61" s="1060"/>
      <c r="AM61" s="928"/>
      <c r="AN61" s="928"/>
      <c r="AO61" s="928"/>
      <c r="AP61" s="928"/>
      <c r="AQ61" s="928"/>
      <c r="AR61" s="928"/>
      <c r="AS61" s="928"/>
      <c r="AT61" s="928"/>
      <c r="AU61" s="928"/>
      <c r="AV61" s="928"/>
      <c r="AW61" s="928"/>
      <c r="AX61" s="928"/>
      <c r="AY61" s="928"/>
      <c r="AZ61" s="928"/>
      <c r="BA61" s="928"/>
      <c r="BB61" s="928"/>
      <c r="BC61" s="928"/>
      <c r="BD61" s="928"/>
      <c r="BE61" s="928"/>
      <c r="BF61" s="1060"/>
      <c r="BK61" s="1556"/>
      <c r="BL61" s="1556"/>
    </row>
    <row r="62" spans="1:64" x14ac:dyDescent="0.35">
      <c r="Q62" s="750"/>
      <c r="R62" s="750"/>
      <c r="AK62" s="928"/>
      <c r="AL62" s="1060"/>
      <c r="AM62" s="928"/>
      <c r="AN62" s="928"/>
      <c r="AO62" s="928"/>
      <c r="AP62" s="928"/>
      <c r="AQ62" s="1066"/>
      <c r="AR62" s="928"/>
      <c r="AS62" s="928"/>
      <c r="AT62" s="928"/>
      <c r="AU62" s="928"/>
      <c r="AV62" s="928"/>
      <c r="AW62" s="928"/>
      <c r="AX62" s="928"/>
      <c r="AY62" s="928"/>
      <c r="AZ62" s="928"/>
      <c r="BA62" s="928"/>
      <c r="BB62" s="928"/>
      <c r="BC62" s="928"/>
      <c r="BD62" s="928"/>
      <c r="BE62" s="928"/>
      <c r="BF62" s="1060"/>
      <c r="BK62" s="1556"/>
      <c r="BL62" s="1556"/>
    </row>
    <row r="63" spans="1:64" x14ac:dyDescent="0.35">
      <c r="AK63" s="928"/>
      <c r="AL63" s="1060"/>
      <c r="AM63" s="928"/>
      <c r="AN63" s="928"/>
      <c r="AO63" s="928"/>
      <c r="AP63" s="928"/>
      <c r="AQ63" s="928"/>
      <c r="AR63" s="928"/>
      <c r="AS63" s="928"/>
      <c r="AT63" s="928"/>
      <c r="AU63" s="928"/>
      <c r="AV63" s="928"/>
      <c r="AW63" s="928"/>
      <c r="AX63" s="928"/>
      <c r="AY63" s="928"/>
      <c r="AZ63" s="928"/>
      <c r="BA63" s="928"/>
      <c r="BB63" s="928"/>
      <c r="BC63" s="928"/>
      <c r="BD63" s="928"/>
      <c r="BE63" s="928"/>
      <c r="BF63" s="1060"/>
      <c r="BK63" s="1556"/>
      <c r="BL63" s="1556"/>
    </row>
    <row r="64" spans="1:64" x14ac:dyDescent="0.35">
      <c r="AK64" s="928"/>
      <c r="AL64" s="1060"/>
      <c r="AM64" s="928"/>
      <c r="AN64" s="928"/>
      <c r="AO64" s="928"/>
      <c r="AP64" s="928"/>
      <c r="AQ64" s="928"/>
      <c r="AR64" s="928"/>
      <c r="AS64" s="928"/>
      <c r="AT64" s="928"/>
      <c r="AU64" s="928"/>
      <c r="AV64" s="928"/>
      <c r="AW64" s="928"/>
      <c r="AX64" s="928"/>
      <c r="AY64" s="928"/>
      <c r="AZ64" s="928"/>
      <c r="BA64" s="928"/>
      <c r="BB64" s="928"/>
      <c r="BC64" s="928"/>
      <c r="BD64" s="928"/>
      <c r="BE64" s="928"/>
      <c r="BF64" s="1060"/>
      <c r="BK64" s="1556"/>
      <c r="BL64" s="1556"/>
    </row>
    <row r="65" spans="37:64" x14ac:dyDescent="0.35">
      <c r="AK65" s="928"/>
      <c r="AL65" s="1060"/>
      <c r="AM65" s="928"/>
      <c r="AN65" s="928"/>
      <c r="AO65" s="928"/>
      <c r="AP65" s="928"/>
      <c r="AQ65" s="928"/>
      <c r="AR65" s="928"/>
      <c r="AS65" s="928"/>
      <c r="AT65" s="928"/>
      <c r="AU65" s="928"/>
      <c r="AV65" s="928"/>
      <c r="AW65" s="928"/>
      <c r="AX65" s="928"/>
      <c r="AY65" s="928"/>
      <c r="AZ65" s="928"/>
      <c r="BA65" s="928"/>
      <c r="BB65" s="928"/>
      <c r="BC65" s="928"/>
      <c r="BD65" s="928"/>
      <c r="BE65" s="928"/>
      <c r="BF65" s="1060"/>
      <c r="BK65" s="1556"/>
      <c r="BL65" s="1556"/>
    </row>
    <row r="66" spans="37:64" x14ac:dyDescent="0.35">
      <c r="AK66" s="928"/>
      <c r="AL66" s="1060"/>
      <c r="AM66" s="928"/>
      <c r="AN66" s="928"/>
      <c r="AO66" s="928"/>
      <c r="AP66" s="928"/>
      <c r="AQ66" s="928"/>
      <c r="AR66" s="928"/>
      <c r="AS66" s="928"/>
      <c r="AT66" s="928"/>
      <c r="AU66" s="928"/>
      <c r="AV66" s="928"/>
      <c r="AW66" s="928"/>
      <c r="AX66" s="928"/>
      <c r="AY66" s="928"/>
      <c r="AZ66" s="928"/>
      <c r="BA66" s="928"/>
      <c r="BB66" s="928"/>
      <c r="BC66" s="928"/>
      <c r="BD66" s="928"/>
      <c r="BE66" s="928"/>
      <c r="BF66" s="1060"/>
      <c r="BK66" s="1556"/>
      <c r="BL66" s="1556"/>
    </row>
    <row r="67" spans="37:64" x14ac:dyDescent="0.35">
      <c r="AK67" s="928"/>
      <c r="AL67" s="1060"/>
      <c r="AM67" s="928"/>
      <c r="AN67" s="928"/>
      <c r="AO67" s="928"/>
      <c r="AP67" s="928"/>
      <c r="AQ67" s="928"/>
      <c r="AR67" s="928"/>
      <c r="AS67" s="928"/>
      <c r="AT67" s="928"/>
      <c r="AU67" s="928"/>
      <c r="AV67" s="928"/>
      <c r="AW67" s="928"/>
      <c r="AX67" s="928"/>
      <c r="AY67" s="928"/>
      <c r="AZ67" s="928"/>
      <c r="BA67" s="928"/>
      <c r="BB67" s="928"/>
      <c r="BC67" s="928"/>
      <c r="BD67" s="928"/>
      <c r="BE67" s="928"/>
      <c r="BF67" s="1060"/>
    </row>
    <row r="68" spans="37:64" x14ac:dyDescent="0.35">
      <c r="AK68" s="928"/>
      <c r="AL68" s="1060"/>
      <c r="AM68" s="928"/>
      <c r="AN68" s="928"/>
      <c r="AO68" s="928"/>
      <c r="AP68" s="928"/>
      <c r="AQ68" s="928"/>
      <c r="AR68" s="928"/>
      <c r="AS68" s="928"/>
      <c r="AT68" s="928"/>
      <c r="AU68" s="928"/>
      <c r="AV68" s="928"/>
      <c r="AW68" s="928"/>
      <c r="AX68" s="928"/>
      <c r="AY68" s="928"/>
      <c r="AZ68" s="928"/>
      <c r="BA68" s="928"/>
      <c r="BB68" s="928"/>
      <c r="BC68" s="928"/>
      <c r="BD68" s="928"/>
      <c r="BE68" s="928"/>
      <c r="BF68" s="1060"/>
      <c r="BK68" s="1556"/>
      <c r="BL68" s="1556"/>
    </row>
    <row r="69" spans="37:64" x14ac:dyDescent="0.35">
      <c r="AK69" s="928"/>
      <c r="AL69" s="1060"/>
      <c r="AM69" s="928"/>
      <c r="AN69" s="928"/>
      <c r="AO69" s="928"/>
      <c r="AP69" s="928"/>
      <c r="AQ69" s="928"/>
      <c r="AR69" s="928"/>
      <c r="AS69" s="928"/>
      <c r="AT69" s="928"/>
      <c r="AU69" s="928"/>
      <c r="AV69" s="928"/>
      <c r="AW69" s="928"/>
      <c r="AX69" s="928"/>
      <c r="AY69" s="928"/>
      <c r="AZ69" s="928"/>
      <c r="BA69" s="928"/>
      <c r="BB69" s="928"/>
      <c r="BC69" s="928"/>
      <c r="BD69" s="1068"/>
      <c r="BE69" s="1069"/>
      <c r="BF69" s="1060"/>
      <c r="BK69" s="1556"/>
      <c r="BL69" s="1556"/>
    </row>
    <row r="70" spans="37:64" x14ac:dyDescent="0.35">
      <c r="AK70" s="928"/>
      <c r="AL70" s="1060"/>
      <c r="AM70" s="928"/>
      <c r="AN70" s="928"/>
      <c r="AO70" s="928"/>
      <c r="AP70" s="928"/>
      <c r="AQ70" s="928"/>
      <c r="AR70" s="928"/>
      <c r="AS70" s="928"/>
      <c r="AT70" s="928"/>
      <c r="AU70" s="928"/>
      <c r="AV70" s="928"/>
      <c r="AW70" s="928"/>
      <c r="AX70" s="928"/>
      <c r="AY70" s="928"/>
      <c r="AZ70" s="928"/>
      <c r="BA70" s="928"/>
      <c r="BB70" s="928"/>
      <c r="BC70" s="928"/>
      <c r="BD70" s="1068"/>
      <c r="BE70" s="1068"/>
      <c r="BF70" s="1060"/>
      <c r="BK70" s="1556"/>
      <c r="BL70" s="1556"/>
    </row>
    <row r="71" spans="37:64" x14ac:dyDescent="0.35">
      <c r="AK71" s="928"/>
      <c r="AL71" s="1060"/>
      <c r="AM71" s="928"/>
      <c r="AN71" s="928"/>
      <c r="AO71" s="928"/>
      <c r="AP71" s="928"/>
      <c r="AQ71" s="928"/>
      <c r="AR71" s="928"/>
      <c r="AS71" s="928"/>
      <c r="AT71" s="928"/>
      <c r="AU71" s="928"/>
      <c r="AV71" s="928"/>
      <c r="AW71" s="928"/>
      <c r="AX71" s="928"/>
      <c r="AY71" s="928"/>
      <c r="AZ71" s="928"/>
      <c r="BA71" s="928"/>
      <c r="BB71" s="928"/>
      <c r="BC71" s="928"/>
      <c r="BD71" s="1068"/>
      <c r="BE71" s="1068"/>
      <c r="BF71" s="1060"/>
      <c r="BK71" s="1556"/>
      <c r="BL71" s="1556"/>
    </row>
    <row r="72" spans="37:64" x14ac:dyDescent="0.35">
      <c r="AK72" s="928"/>
      <c r="AL72" s="1060"/>
      <c r="AM72" s="928"/>
      <c r="AN72" s="928"/>
      <c r="AO72" s="928"/>
      <c r="AP72" s="928"/>
      <c r="AQ72" s="928"/>
      <c r="AR72" s="928"/>
      <c r="AS72" s="928"/>
      <c r="AT72" s="928"/>
      <c r="AU72" s="928"/>
      <c r="AV72" s="928"/>
      <c r="AW72" s="928"/>
      <c r="AX72" s="928"/>
      <c r="AY72" s="928"/>
      <c r="AZ72" s="928"/>
      <c r="BA72" s="928"/>
      <c r="BB72" s="928"/>
      <c r="BC72" s="928"/>
      <c r="BD72" s="1068"/>
      <c r="BE72" s="1070"/>
      <c r="BF72" s="1060"/>
      <c r="BK72" s="1556"/>
      <c r="BL72" s="1556"/>
    </row>
    <row r="73" spans="37:64" x14ac:dyDescent="0.35">
      <c r="AK73" s="928"/>
      <c r="AL73" s="1060"/>
      <c r="AM73" s="928"/>
      <c r="AN73" s="928"/>
      <c r="AO73" s="928"/>
      <c r="AP73" s="928"/>
      <c r="AQ73" s="928"/>
      <c r="AR73" s="928"/>
      <c r="AS73" s="928"/>
      <c r="AT73" s="928"/>
      <c r="AU73" s="928"/>
      <c r="AV73" s="928"/>
      <c r="AW73" s="928"/>
      <c r="AX73" s="928"/>
      <c r="AY73" s="928"/>
      <c r="AZ73" s="928"/>
      <c r="BA73" s="928"/>
      <c r="BB73" s="928"/>
      <c r="BC73" s="928"/>
      <c r="BD73" s="1068"/>
      <c r="BE73" s="1070"/>
      <c r="BF73" s="1060"/>
      <c r="BK73" s="1556"/>
      <c r="BL73" s="1556"/>
    </row>
    <row r="74" spans="37:64" x14ac:dyDescent="0.35">
      <c r="AK74" s="928"/>
      <c r="AL74" s="1060"/>
      <c r="AM74" s="928"/>
      <c r="AN74" s="928"/>
      <c r="AO74" s="928"/>
      <c r="AP74" s="928"/>
      <c r="AQ74" s="928"/>
      <c r="AR74" s="928"/>
      <c r="AS74" s="928"/>
      <c r="AT74" s="928"/>
      <c r="AU74" s="928"/>
      <c r="AV74" s="928"/>
      <c r="AW74" s="928"/>
      <c r="AX74" s="928"/>
      <c r="AY74" s="928"/>
      <c r="AZ74" s="928"/>
      <c r="BA74" s="928"/>
      <c r="BB74" s="928"/>
      <c r="BC74" s="928"/>
      <c r="BD74" s="1068"/>
      <c r="BE74" s="1070"/>
      <c r="BF74" s="1060"/>
    </row>
    <row r="75" spans="37:64" x14ac:dyDescent="0.35">
      <c r="AK75" s="928"/>
      <c r="AL75" s="1060"/>
      <c r="AM75" s="928"/>
      <c r="AN75" s="928"/>
      <c r="AO75" s="928"/>
      <c r="AP75" s="928"/>
      <c r="AQ75" s="928"/>
      <c r="AR75" s="928"/>
      <c r="AS75" s="928"/>
      <c r="AT75" s="928"/>
      <c r="AU75" s="928"/>
      <c r="AV75" s="928"/>
      <c r="AW75" s="928"/>
      <c r="AX75" s="928"/>
      <c r="AY75" s="928"/>
      <c r="AZ75" s="928"/>
      <c r="BA75" s="928"/>
      <c r="BB75" s="928"/>
      <c r="BC75" s="928"/>
      <c r="BD75" s="1068"/>
      <c r="BE75" s="1068"/>
      <c r="BF75" s="1060"/>
      <c r="BK75" s="1556"/>
      <c r="BL75" s="1556"/>
    </row>
    <row r="76" spans="37:64" x14ac:dyDescent="0.35">
      <c r="AK76" s="928"/>
      <c r="AL76" s="1060"/>
      <c r="AM76" s="928"/>
      <c r="AN76" s="928"/>
      <c r="AO76" s="928"/>
      <c r="AP76" s="928"/>
      <c r="AQ76" s="928"/>
      <c r="AR76" s="928"/>
      <c r="AS76" s="928"/>
      <c r="AT76" s="928"/>
      <c r="AU76" s="928"/>
      <c r="AV76" s="928"/>
      <c r="AW76" s="928"/>
      <c r="AX76" s="928"/>
      <c r="AY76" s="928"/>
      <c r="AZ76" s="928"/>
      <c r="BA76" s="928"/>
      <c r="BB76" s="928"/>
      <c r="BC76" s="928"/>
      <c r="BD76" s="1068"/>
      <c r="BE76" s="1070"/>
      <c r="BF76" s="1060"/>
      <c r="BK76" s="1556"/>
      <c r="BL76" s="1556"/>
    </row>
    <row r="77" spans="37:64" x14ac:dyDescent="0.35">
      <c r="AK77" s="928"/>
      <c r="AL77" s="1060"/>
      <c r="AM77" s="928"/>
      <c r="AN77" s="928"/>
      <c r="AO77" s="928"/>
      <c r="AP77" s="928"/>
      <c r="AQ77" s="928"/>
      <c r="AR77" s="928"/>
      <c r="AS77" s="928"/>
      <c r="AT77" s="928"/>
      <c r="AU77" s="928"/>
      <c r="AV77" s="928"/>
      <c r="AW77" s="928"/>
      <c r="AX77" s="928"/>
      <c r="AY77" s="928"/>
      <c r="AZ77" s="928"/>
      <c r="BA77" s="928"/>
      <c r="BB77" s="928"/>
      <c r="BC77" s="928"/>
      <c r="BD77" s="1068"/>
      <c r="BE77" s="1068"/>
      <c r="BF77" s="1060"/>
      <c r="BK77" s="1556"/>
      <c r="BL77" s="1556"/>
    </row>
    <row r="78" spans="37:64" x14ac:dyDescent="0.35">
      <c r="AK78" s="928"/>
      <c r="AL78" s="1060"/>
      <c r="AM78" s="928"/>
      <c r="AN78" s="928"/>
      <c r="AO78" s="928"/>
      <c r="AP78" s="928"/>
      <c r="AQ78" s="928"/>
      <c r="AR78" s="928"/>
      <c r="AS78" s="928"/>
      <c r="AT78" s="928"/>
      <c r="AU78" s="928"/>
      <c r="AV78" s="928"/>
      <c r="AW78" s="928"/>
      <c r="AX78" s="928"/>
      <c r="AY78" s="928"/>
      <c r="AZ78" s="928"/>
      <c r="BA78" s="928"/>
      <c r="BB78" s="928"/>
      <c r="BC78" s="928"/>
      <c r="BD78" s="1068"/>
      <c r="BE78" s="1068"/>
      <c r="BF78" s="1060"/>
      <c r="BK78" s="1556"/>
      <c r="BL78" s="1556"/>
    </row>
    <row r="79" spans="37:64" x14ac:dyDescent="0.35">
      <c r="AK79" s="928"/>
      <c r="AL79" s="1060"/>
      <c r="AM79" s="928"/>
      <c r="AN79" s="928"/>
      <c r="AO79" s="928"/>
      <c r="AP79" s="928"/>
      <c r="AQ79" s="928"/>
      <c r="AR79" s="928"/>
      <c r="AS79" s="928"/>
      <c r="AT79" s="928"/>
      <c r="AU79" s="928"/>
      <c r="AV79" s="928"/>
      <c r="AW79" s="928"/>
      <c r="AX79" s="928"/>
      <c r="AY79" s="928"/>
      <c r="AZ79" s="928"/>
      <c r="BA79" s="928"/>
      <c r="BB79" s="928"/>
      <c r="BC79" s="928"/>
      <c r="BD79" s="928"/>
      <c r="BE79" s="928"/>
      <c r="BF79" s="1060"/>
      <c r="BK79" s="1556"/>
      <c r="BL79" s="1556"/>
    </row>
    <row r="80" spans="37:64" x14ac:dyDescent="0.35">
      <c r="AK80" s="928"/>
      <c r="AL80" s="1060"/>
      <c r="AM80" s="928"/>
      <c r="AN80" s="928"/>
      <c r="AO80" s="928"/>
      <c r="AP80" s="928"/>
      <c r="AQ80" s="928"/>
      <c r="AR80" s="928"/>
      <c r="AS80" s="928"/>
      <c r="AT80" s="928"/>
      <c r="AU80" s="928"/>
      <c r="AV80" s="928"/>
      <c r="AW80" s="928"/>
      <c r="AX80" s="928"/>
      <c r="AY80" s="928"/>
      <c r="AZ80" s="928"/>
      <c r="BA80" s="928"/>
      <c r="BB80" s="928"/>
      <c r="BC80" s="928"/>
      <c r="BD80" s="928"/>
      <c r="BE80" s="928"/>
      <c r="BF80" s="1060"/>
      <c r="BK80" s="1556"/>
      <c r="BL80" s="1556"/>
    </row>
    <row r="81" spans="37:64" x14ac:dyDescent="0.35">
      <c r="AK81" s="928"/>
      <c r="AL81" s="1060"/>
      <c r="AM81" s="928"/>
      <c r="AN81" s="928"/>
      <c r="AO81" s="928"/>
      <c r="AP81" s="928"/>
      <c r="AQ81" s="928"/>
      <c r="AR81" s="928"/>
      <c r="AS81" s="928"/>
      <c r="AT81" s="928"/>
      <c r="AU81" s="928"/>
      <c r="AV81" s="928"/>
      <c r="AW81" s="928"/>
      <c r="AX81" s="928"/>
      <c r="AY81" s="928"/>
      <c r="AZ81" s="928"/>
      <c r="BA81" s="928"/>
      <c r="BB81" s="928"/>
      <c r="BC81" s="928"/>
      <c r="BD81" s="928"/>
      <c r="BE81" s="928"/>
      <c r="BF81" s="1060"/>
      <c r="BK81" s="1556"/>
      <c r="BL81" s="1556"/>
    </row>
    <row r="82" spans="37:64" x14ac:dyDescent="0.35">
      <c r="AK82" s="928"/>
      <c r="AL82" s="1060"/>
      <c r="AM82" s="928"/>
      <c r="AN82" s="928"/>
      <c r="AO82" s="928"/>
      <c r="AP82" s="928"/>
      <c r="AQ82" s="928"/>
      <c r="AR82" s="928"/>
      <c r="AS82" s="928"/>
      <c r="AT82" s="928"/>
      <c r="AU82" s="928"/>
      <c r="AV82" s="928"/>
      <c r="AW82" s="928"/>
      <c r="AX82" s="928"/>
      <c r="AY82" s="928"/>
      <c r="AZ82" s="928"/>
      <c r="BA82" s="928"/>
      <c r="BB82" s="928"/>
      <c r="BC82" s="928"/>
      <c r="BD82" s="928"/>
      <c r="BE82" s="928"/>
      <c r="BF82" s="1060"/>
    </row>
    <row r="83" spans="37:64" x14ac:dyDescent="0.35">
      <c r="AK83" s="928"/>
      <c r="AL83" s="1060"/>
      <c r="AM83" s="928"/>
      <c r="AN83" s="928"/>
      <c r="AO83" s="928"/>
      <c r="AP83" s="928"/>
      <c r="AQ83" s="928"/>
      <c r="AR83" s="928"/>
      <c r="AS83" s="928"/>
      <c r="AT83" s="928"/>
      <c r="AU83" s="928"/>
      <c r="AV83" s="928"/>
      <c r="AW83" s="928"/>
      <c r="AX83" s="928"/>
      <c r="AY83" s="928"/>
      <c r="AZ83" s="928"/>
      <c r="BA83" s="928"/>
      <c r="BB83" s="928"/>
      <c r="BC83" s="928"/>
      <c r="BD83" s="928"/>
      <c r="BE83" s="928"/>
      <c r="BF83" s="1060"/>
    </row>
    <row r="84" spans="37:64" x14ac:dyDescent="0.35">
      <c r="AK84" s="928"/>
      <c r="AL84" s="1060"/>
      <c r="AM84" s="928"/>
      <c r="AN84" s="928"/>
      <c r="AO84" s="928"/>
      <c r="AP84" s="928"/>
      <c r="AQ84" s="928"/>
      <c r="AR84" s="928"/>
      <c r="AS84" s="928"/>
      <c r="AT84" s="928"/>
      <c r="AU84" s="928"/>
      <c r="AV84" s="928"/>
      <c r="AW84" s="928"/>
      <c r="AX84" s="928"/>
      <c r="AY84" s="928"/>
      <c r="AZ84" s="928"/>
      <c r="BA84" s="928"/>
      <c r="BB84" s="928"/>
      <c r="BC84" s="928"/>
      <c r="BD84" s="928"/>
      <c r="BE84" s="928"/>
      <c r="BF84" s="1060"/>
    </row>
    <row r="85" spans="37:64" x14ac:dyDescent="0.35">
      <c r="AK85" s="928"/>
      <c r="AL85" s="1060"/>
      <c r="AM85" s="928"/>
      <c r="AN85" s="928"/>
      <c r="AO85" s="928"/>
      <c r="AP85" s="928"/>
      <c r="AQ85" s="928"/>
      <c r="AR85" s="928"/>
      <c r="AS85" s="928"/>
      <c r="AT85" s="928"/>
      <c r="AU85" s="928"/>
      <c r="AV85" s="928"/>
      <c r="AW85" s="928"/>
      <c r="AX85" s="928"/>
      <c r="AY85" s="928"/>
      <c r="AZ85" s="928"/>
      <c r="BA85" s="928"/>
      <c r="BB85" s="928"/>
      <c r="BC85" s="928"/>
      <c r="BD85" s="928"/>
      <c r="BE85" s="928"/>
      <c r="BF85" s="1060"/>
    </row>
    <row r="86" spans="37:64" x14ac:dyDescent="0.35">
      <c r="AK86" s="928"/>
      <c r="AL86" s="1060"/>
      <c r="AM86" s="928"/>
      <c r="AN86" s="928"/>
      <c r="AO86" s="928"/>
      <c r="AP86" s="928"/>
      <c r="AQ86" s="928"/>
      <c r="AR86" s="928"/>
      <c r="AS86" s="928"/>
      <c r="AT86" s="928"/>
      <c r="AU86" s="928"/>
      <c r="AV86" s="928"/>
      <c r="AW86" s="928"/>
      <c r="AX86" s="928"/>
      <c r="AY86" s="928"/>
      <c r="AZ86" s="928"/>
      <c r="BA86" s="928"/>
      <c r="BB86" s="928"/>
      <c r="BC86" s="928"/>
      <c r="BD86" s="928"/>
      <c r="BE86" s="928"/>
      <c r="BF86" s="1060"/>
    </row>
    <row r="87" spans="37:64" x14ac:dyDescent="0.35">
      <c r="AK87" s="928"/>
      <c r="AL87" s="1060"/>
      <c r="AM87" s="928"/>
      <c r="AN87" s="928"/>
      <c r="AO87" s="928"/>
      <c r="AP87" s="928"/>
      <c r="AQ87" s="928"/>
      <c r="AR87" s="928"/>
      <c r="AS87" s="928"/>
      <c r="AT87" s="928"/>
      <c r="AU87" s="928"/>
      <c r="AV87" s="928"/>
      <c r="AW87" s="928"/>
      <c r="AX87" s="928"/>
      <c r="AY87" s="928"/>
      <c r="AZ87" s="928"/>
      <c r="BA87" s="928"/>
      <c r="BB87" s="928"/>
      <c r="BC87" s="928"/>
      <c r="BD87" s="928"/>
      <c r="BE87" s="928"/>
      <c r="BF87" s="1060"/>
    </row>
    <row r="88" spans="37:64" x14ac:dyDescent="0.35">
      <c r="AK88" s="928"/>
      <c r="AL88" s="1060"/>
      <c r="AM88" s="928"/>
      <c r="AN88" s="928"/>
      <c r="AO88" s="928"/>
      <c r="AP88" s="928"/>
      <c r="AQ88" s="928"/>
      <c r="AR88" s="928"/>
      <c r="AS88" s="928"/>
      <c r="AT88" s="928"/>
      <c r="AU88" s="928"/>
      <c r="AV88" s="928"/>
      <c r="AW88" s="928"/>
      <c r="AX88" s="928"/>
      <c r="AY88" s="928"/>
      <c r="AZ88" s="928"/>
      <c r="BA88" s="928"/>
      <c r="BB88" s="928"/>
      <c r="BC88" s="928"/>
      <c r="BD88" s="928"/>
      <c r="BE88" s="928"/>
      <c r="BF88" s="1060"/>
    </row>
    <row r="89" spans="37:64" x14ac:dyDescent="0.35">
      <c r="AK89" s="928"/>
      <c r="AL89" s="1060"/>
      <c r="AM89" s="928"/>
      <c r="AN89" s="928"/>
      <c r="AO89" s="928"/>
      <c r="AP89" s="928"/>
      <c r="AQ89" s="928"/>
      <c r="AR89" s="928"/>
      <c r="AS89" s="928"/>
      <c r="AT89" s="928"/>
      <c r="AU89" s="928"/>
      <c r="AV89" s="928"/>
      <c r="AW89" s="928"/>
      <c r="AX89" s="928"/>
      <c r="AY89" s="928"/>
      <c r="AZ89" s="928"/>
      <c r="BA89" s="928"/>
      <c r="BB89" s="928"/>
      <c r="BC89" s="928"/>
      <c r="BD89" s="928"/>
      <c r="BE89" s="928"/>
      <c r="BF89" s="1060"/>
    </row>
    <row r="90" spans="37:64" x14ac:dyDescent="0.35">
      <c r="AK90" s="928"/>
      <c r="AL90" s="1060"/>
      <c r="AM90" s="928"/>
      <c r="AN90" s="928"/>
      <c r="AO90" s="928"/>
      <c r="AP90" s="928"/>
      <c r="AQ90" s="928"/>
      <c r="AR90" s="928"/>
      <c r="AS90" s="928"/>
      <c r="AT90" s="928"/>
      <c r="AU90" s="928"/>
      <c r="AV90" s="928"/>
      <c r="AW90" s="928"/>
      <c r="AX90" s="928"/>
      <c r="AY90" s="928"/>
      <c r="AZ90" s="928"/>
      <c r="BA90" s="928"/>
      <c r="BB90" s="928"/>
      <c r="BC90" s="928"/>
      <c r="BD90" s="928"/>
      <c r="BE90" s="928"/>
      <c r="BF90" s="1060"/>
    </row>
    <row r="91" spans="37:64" x14ac:dyDescent="0.35">
      <c r="AK91" s="928"/>
      <c r="AL91" s="1060"/>
      <c r="AM91" s="928"/>
      <c r="AN91" s="928"/>
      <c r="AO91" s="928"/>
      <c r="AP91" s="928"/>
      <c r="AQ91" s="928"/>
      <c r="AR91" s="928"/>
      <c r="AS91" s="928"/>
      <c r="AT91" s="928"/>
      <c r="AU91" s="928"/>
      <c r="AV91" s="928"/>
      <c r="AW91" s="928"/>
      <c r="AX91" s="928"/>
      <c r="AY91" s="928"/>
      <c r="AZ91" s="928"/>
      <c r="BA91" s="928"/>
      <c r="BB91" s="928"/>
      <c r="BC91" s="928"/>
      <c r="BD91" s="928"/>
      <c r="BE91" s="928"/>
      <c r="BF91" s="1060"/>
    </row>
    <row r="92" spans="37:64" x14ac:dyDescent="0.35">
      <c r="AK92" s="928"/>
      <c r="AL92" s="1060"/>
      <c r="AM92" s="928"/>
      <c r="AN92" s="928"/>
      <c r="AO92" s="928"/>
      <c r="AP92" s="928"/>
      <c r="AQ92" s="928"/>
      <c r="AR92" s="928"/>
      <c r="AS92" s="928"/>
      <c r="AT92" s="928"/>
      <c r="AU92" s="928"/>
      <c r="AV92" s="928"/>
      <c r="AW92" s="928"/>
      <c r="AX92" s="928"/>
      <c r="AY92" s="928"/>
      <c r="AZ92" s="928"/>
      <c r="BA92" s="928"/>
      <c r="BB92" s="928"/>
      <c r="BC92" s="928"/>
      <c r="BD92" s="928"/>
      <c r="BE92" s="928"/>
      <c r="BF92" s="1060"/>
    </row>
    <row r="93" spans="37:64" x14ac:dyDescent="0.35">
      <c r="AK93" s="928"/>
      <c r="AL93" s="1060"/>
      <c r="AM93" s="928"/>
      <c r="AN93" s="928"/>
      <c r="AO93" s="928"/>
      <c r="AP93" s="928"/>
      <c r="AQ93" s="928"/>
      <c r="AR93" s="928"/>
      <c r="AS93" s="928"/>
      <c r="AT93" s="928"/>
      <c r="AU93" s="928"/>
      <c r="AV93" s="928"/>
      <c r="AW93" s="928"/>
      <c r="AX93" s="928"/>
      <c r="AY93" s="928"/>
      <c r="AZ93" s="928"/>
      <c r="BA93" s="928"/>
      <c r="BB93" s="928"/>
      <c r="BC93" s="928"/>
      <c r="BD93" s="928"/>
      <c r="BE93" s="928"/>
      <c r="BF93" s="1060"/>
    </row>
    <row r="94" spans="37:64" x14ac:dyDescent="0.35">
      <c r="AK94" s="928"/>
      <c r="AL94" s="1060"/>
      <c r="AM94" s="928"/>
      <c r="AN94" s="928"/>
      <c r="AO94" s="928"/>
      <c r="AP94" s="928"/>
      <c r="AQ94" s="928"/>
      <c r="AR94" s="928"/>
      <c r="AS94" s="928"/>
      <c r="AT94" s="928"/>
      <c r="AU94" s="928"/>
      <c r="AV94" s="928"/>
      <c r="AW94" s="928"/>
      <c r="AX94" s="928"/>
      <c r="AY94" s="928"/>
      <c r="AZ94" s="928"/>
      <c r="BA94" s="928"/>
      <c r="BB94" s="928"/>
      <c r="BC94" s="928"/>
      <c r="BD94" s="928"/>
      <c r="BE94" s="928"/>
      <c r="BF94" s="1060"/>
    </row>
    <row r="95" spans="37:64" x14ac:dyDescent="0.35">
      <c r="AK95" s="928"/>
      <c r="AL95" s="1060"/>
      <c r="AM95" s="928"/>
      <c r="AN95" s="928"/>
      <c r="AO95" s="928"/>
      <c r="AP95" s="928"/>
      <c r="AQ95" s="928"/>
      <c r="AR95" s="928"/>
      <c r="AS95" s="928"/>
      <c r="AT95" s="928"/>
      <c r="AU95" s="928"/>
      <c r="AV95" s="928"/>
      <c r="AW95" s="928"/>
      <c r="AX95" s="928"/>
      <c r="AY95" s="928"/>
      <c r="AZ95" s="928"/>
      <c r="BA95" s="928"/>
      <c r="BB95" s="928"/>
      <c r="BC95" s="928"/>
      <c r="BD95" s="928"/>
      <c r="BE95" s="928"/>
      <c r="BF95" s="1060"/>
    </row>
    <row r="96" spans="37:64" x14ac:dyDescent="0.35">
      <c r="AK96" s="928"/>
      <c r="AL96" s="1060"/>
      <c r="AM96" s="928"/>
      <c r="AN96" s="928"/>
      <c r="AO96" s="928"/>
      <c r="AP96" s="928"/>
      <c r="AQ96" s="928"/>
      <c r="AR96" s="928"/>
      <c r="AS96" s="928"/>
      <c r="AT96" s="928"/>
      <c r="AU96" s="928"/>
      <c r="AV96" s="928"/>
      <c r="AW96" s="928"/>
      <c r="AX96" s="928"/>
      <c r="AY96" s="928"/>
      <c r="AZ96" s="928"/>
      <c r="BA96" s="928"/>
      <c r="BB96" s="928"/>
      <c r="BC96" s="928"/>
      <c r="BD96" s="928"/>
      <c r="BE96" s="928"/>
      <c r="BF96" s="1060"/>
    </row>
    <row r="97" spans="37:58" x14ac:dyDescent="0.35">
      <c r="AK97" s="928"/>
      <c r="AL97" s="1060"/>
      <c r="AM97" s="928"/>
      <c r="AN97" s="928"/>
      <c r="AO97" s="928"/>
      <c r="AP97" s="928"/>
      <c r="AQ97" s="928"/>
      <c r="AR97" s="928"/>
      <c r="AS97" s="928"/>
      <c r="AT97" s="928"/>
      <c r="AU97" s="928"/>
      <c r="AV97" s="928"/>
      <c r="AW97" s="928"/>
      <c r="AX97" s="928"/>
      <c r="AY97" s="928"/>
      <c r="AZ97" s="928"/>
      <c r="BA97" s="928"/>
      <c r="BB97" s="928"/>
      <c r="BC97" s="928"/>
      <c r="BD97" s="928"/>
      <c r="BE97" s="928"/>
      <c r="BF97" s="1060"/>
    </row>
    <row r="98" spans="37:58" x14ac:dyDescent="0.35">
      <c r="AK98" s="928"/>
      <c r="AL98" s="1060"/>
      <c r="AM98" s="928"/>
      <c r="AN98" s="928"/>
      <c r="AO98" s="928"/>
      <c r="AP98" s="928"/>
      <c r="AQ98" s="928"/>
      <c r="AR98" s="928"/>
      <c r="AS98" s="928"/>
      <c r="AT98" s="928"/>
      <c r="AU98" s="928"/>
      <c r="AV98" s="928"/>
      <c r="AW98" s="928"/>
      <c r="AX98" s="928"/>
      <c r="AY98" s="928"/>
      <c r="AZ98" s="928"/>
      <c r="BA98" s="928"/>
      <c r="BB98" s="928"/>
      <c r="BC98" s="928"/>
      <c r="BD98" s="928"/>
      <c r="BE98" s="928"/>
      <c r="BF98" s="1060"/>
    </row>
    <row r="99" spans="37:58" x14ac:dyDescent="0.35">
      <c r="AK99" s="928"/>
      <c r="AL99" s="1060"/>
      <c r="AM99" s="928"/>
      <c r="AN99" s="928"/>
      <c r="AO99" s="928"/>
      <c r="AP99" s="928"/>
      <c r="AQ99" s="928"/>
      <c r="AR99" s="928"/>
      <c r="AS99" s="928"/>
      <c r="AT99" s="928"/>
      <c r="AU99" s="928"/>
      <c r="AV99" s="928"/>
      <c r="AW99" s="928"/>
      <c r="AX99" s="928"/>
      <c r="AY99" s="928"/>
      <c r="AZ99" s="928"/>
      <c r="BA99" s="928"/>
      <c r="BB99" s="928"/>
      <c r="BC99" s="928"/>
      <c r="BD99" s="928"/>
      <c r="BE99" s="928"/>
      <c r="BF99" s="1060"/>
    </row>
    <row r="100" spans="37:58" x14ac:dyDescent="0.35">
      <c r="AK100" s="928"/>
      <c r="AL100" s="1060"/>
      <c r="AM100" s="928"/>
      <c r="AN100" s="928"/>
      <c r="AO100" s="928"/>
      <c r="AP100" s="928"/>
      <c r="AQ100" s="928"/>
      <c r="AR100" s="928"/>
      <c r="AS100" s="928"/>
      <c r="AT100" s="928"/>
      <c r="AU100" s="928"/>
      <c r="AV100" s="928"/>
      <c r="AW100" s="928"/>
      <c r="AX100" s="928"/>
      <c r="AY100" s="928"/>
      <c r="AZ100" s="928"/>
      <c r="BA100" s="928"/>
      <c r="BB100" s="928"/>
      <c r="BC100" s="928"/>
      <c r="BD100" s="928"/>
      <c r="BE100" s="928"/>
      <c r="BF100" s="1060"/>
    </row>
    <row r="101" spans="37:58" x14ac:dyDescent="0.35">
      <c r="AK101" s="928"/>
      <c r="AL101" s="1060"/>
      <c r="AM101" s="928"/>
      <c r="AN101" s="928"/>
      <c r="AO101" s="928"/>
      <c r="AP101" s="928"/>
      <c r="AQ101" s="928"/>
      <c r="AR101" s="928"/>
      <c r="AS101" s="928"/>
      <c r="AT101" s="928"/>
      <c r="AU101" s="928"/>
      <c r="AV101" s="928"/>
      <c r="AW101" s="928"/>
      <c r="AX101" s="928"/>
      <c r="AY101" s="928"/>
      <c r="AZ101" s="928"/>
      <c r="BA101" s="928"/>
      <c r="BB101" s="928"/>
      <c r="BC101" s="928"/>
      <c r="BD101" s="928"/>
      <c r="BE101" s="928"/>
      <c r="BF101" s="1060"/>
    </row>
    <row r="102" spans="37:58" x14ac:dyDescent="0.35">
      <c r="AK102" s="928"/>
      <c r="AL102" s="1060"/>
      <c r="AM102" s="928"/>
      <c r="AN102" s="928"/>
      <c r="AO102" s="928"/>
      <c r="AP102" s="928"/>
      <c r="AQ102" s="928"/>
      <c r="AR102" s="928"/>
      <c r="AS102" s="928"/>
      <c r="AT102" s="928"/>
      <c r="AU102" s="928"/>
      <c r="AV102" s="928"/>
      <c r="AW102" s="928"/>
      <c r="AX102" s="928"/>
      <c r="AY102" s="928"/>
      <c r="AZ102" s="928"/>
      <c r="BA102" s="928"/>
      <c r="BB102" s="928"/>
      <c r="BC102" s="928"/>
      <c r="BD102" s="928"/>
      <c r="BE102" s="928"/>
      <c r="BF102" s="1060"/>
    </row>
    <row r="103" spans="37:58" x14ac:dyDescent="0.35">
      <c r="AK103" s="928"/>
      <c r="AL103" s="1060"/>
      <c r="AM103" s="928"/>
      <c r="AN103" s="928"/>
      <c r="AO103" s="928"/>
      <c r="AP103" s="928"/>
      <c r="AQ103" s="928"/>
      <c r="AR103" s="928"/>
      <c r="AS103" s="928"/>
      <c r="AT103" s="928"/>
      <c r="AU103" s="928"/>
      <c r="AV103" s="928"/>
      <c r="AW103" s="928"/>
      <c r="AX103" s="928"/>
      <c r="AY103" s="928"/>
      <c r="AZ103" s="928"/>
      <c r="BA103" s="928"/>
      <c r="BB103" s="928"/>
      <c r="BC103" s="928"/>
      <c r="BD103" s="928"/>
      <c r="BE103" s="928"/>
      <c r="BF103" s="1060"/>
    </row>
    <row r="104" spans="37:58" x14ac:dyDescent="0.35">
      <c r="AK104" s="928"/>
      <c r="AL104" s="1060"/>
      <c r="AM104" s="928"/>
      <c r="AN104" s="928"/>
      <c r="AO104" s="928"/>
      <c r="AP104" s="928"/>
      <c r="AQ104" s="928"/>
      <c r="AR104" s="928"/>
      <c r="AS104" s="928"/>
      <c r="AT104" s="928"/>
      <c r="AU104" s="928"/>
      <c r="AV104" s="928"/>
      <c r="AW104" s="928"/>
      <c r="AX104" s="928"/>
      <c r="AY104" s="928"/>
      <c r="AZ104" s="928"/>
      <c r="BA104" s="928"/>
      <c r="BB104" s="928"/>
      <c r="BC104" s="928"/>
      <c r="BD104" s="928"/>
      <c r="BE104" s="928"/>
      <c r="BF104" s="1060"/>
    </row>
  </sheetData>
  <sheetProtection sheet="1" objects="1" scenarios="1"/>
  <mergeCells count="419">
    <mergeCell ref="P33:P34"/>
    <mergeCell ref="S33:S34"/>
    <mergeCell ref="V33:V34"/>
    <mergeCell ref="Y33:Y34"/>
    <mergeCell ref="AD33:AD34"/>
    <mergeCell ref="BK33:BK34"/>
    <mergeCell ref="BL33:BL34"/>
    <mergeCell ref="F34:N34"/>
    <mergeCell ref="AD44:AD45"/>
    <mergeCell ref="AF44:AF45"/>
    <mergeCell ref="BK44:BK45"/>
    <mergeCell ref="BL44:BL45"/>
    <mergeCell ref="F45:N45"/>
    <mergeCell ref="AD41:AD42"/>
    <mergeCell ref="AF41:AF42"/>
    <mergeCell ref="BK41:BK42"/>
    <mergeCell ref="BL41:BL42"/>
    <mergeCell ref="F42:N42"/>
    <mergeCell ref="AD36:AD37"/>
    <mergeCell ref="AF36:AF37"/>
    <mergeCell ref="BK36:BK37"/>
    <mergeCell ref="Z44:Z45"/>
    <mergeCell ref="V41:V42"/>
    <mergeCell ref="Y41:Y42"/>
    <mergeCell ref="B20:B21"/>
    <mergeCell ref="C20:C21"/>
    <mergeCell ref="D20:D21"/>
    <mergeCell ref="E20:E21"/>
    <mergeCell ref="O20:O21"/>
    <mergeCell ref="P20:P21"/>
    <mergeCell ref="S20:S21"/>
    <mergeCell ref="V20:V21"/>
    <mergeCell ref="Y20:Y21"/>
    <mergeCell ref="T20:T21"/>
    <mergeCell ref="AD20:AD21"/>
    <mergeCell ref="BK20:BK21"/>
    <mergeCell ref="BL20:BL21"/>
    <mergeCell ref="F21:N21"/>
    <mergeCell ref="B33:B34"/>
    <mergeCell ref="C33:C34"/>
    <mergeCell ref="D33:D34"/>
    <mergeCell ref="E33:E34"/>
    <mergeCell ref="O33:O34"/>
    <mergeCell ref="AD23:AD24"/>
    <mergeCell ref="AF23:AF24"/>
    <mergeCell ref="BK23:BK24"/>
    <mergeCell ref="BL23:BL24"/>
    <mergeCell ref="F24:N24"/>
    <mergeCell ref="B31:B32"/>
    <mergeCell ref="C31:C32"/>
    <mergeCell ref="D31:D32"/>
    <mergeCell ref="E31:E32"/>
    <mergeCell ref="O31:O32"/>
    <mergeCell ref="P31:P32"/>
    <mergeCell ref="S31:S32"/>
    <mergeCell ref="V31:V32"/>
    <mergeCell ref="Y31:Y32"/>
    <mergeCell ref="BK31:BK32"/>
    <mergeCell ref="B44:B45"/>
    <mergeCell ref="C44:C45"/>
    <mergeCell ref="D44:D45"/>
    <mergeCell ref="E44:E45"/>
    <mergeCell ref="O44:O45"/>
    <mergeCell ref="P44:P45"/>
    <mergeCell ref="S44:S45"/>
    <mergeCell ref="V44:V45"/>
    <mergeCell ref="Y44:Y45"/>
    <mergeCell ref="T44:T45"/>
    <mergeCell ref="AI31:AI32"/>
    <mergeCell ref="AJ31:AJ32"/>
    <mergeCell ref="T23:T24"/>
    <mergeCell ref="T31:T32"/>
    <mergeCell ref="BK38:BK39"/>
    <mergeCell ref="BL38:BL39"/>
    <mergeCell ref="F39:N39"/>
    <mergeCell ref="B36:B37"/>
    <mergeCell ref="C36:C37"/>
    <mergeCell ref="D36:D37"/>
    <mergeCell ref="E36:E37"/>
    <mergeCell ref="O36:O37"/>
    <mergeCell ref="P36:P37"/>
    <mergeCell ref="S36:S37"/>
    <mergeCell ref="V36:V37"/>
    <mergeCell ref="Y36:Y37"/>
    <mergeCell ref="F37:N37"/>
    <mergeCell ref="B38:B39"/>
    <mergeCell ref="C38:C39"/>
    <mergeCell ref="D38:D39"/>
    <mergeCell ref="E38:E39"/>
    <mergeCell ref="O38:O39"/>
    <mergeCell ref="P38:P39"/>
    <mergeCell ref="S38:S39"/>
    <mergeCell ref="F32:N32"/>
    <mergeCell ref="B23:B24"/>
    <mergeCell ref="C23:C24"/>
    <mergeCell ref="D23:D24"/>
    <mergeCell ref="E23:E24"/>
    <mergeCell ref="O23:O24"/>
    <mergeCell ref="P23:P24"/>
    <mergeCell ref="S23:S24"/>
    <mergeCell ref="V23:V24"/>
    <mergeCell ref="O28:O29"/>
    <mergeCell ref="F28:N28"/>
    <mergeCell ref="E28:E29"/>
    <mergeCell ref="D28:D29"/>
    <mergeCell ref="B28:B29"/>
    <mergeCell ref="S28:S29"/>
    <mergeCell ref="Q28:Q29"/>
    <mergeCell ref="P28:P29"/>
    <mergeCell ref="R28:R29"/>
    <mergeCell ref="AF16:AF17"/>
    <mergeCell ref="BK16:BK17"/>
    <mergeCell ref="BL16:BL17"/>
    <mergeCell ref="F17:N17"/>
    <mergeCell ref="B18:B19"/>
    <mergeCell ref="C18:C19"/>
    <mergeCell ref="D18:D19"/>
    <mergeCell ref="E18:E19"/>
    <mergeCell ref="O18:O19"/>
    <mergeCell ref="P18:P19"/>
    <mergeCell ref="S18:S19"/>
    <mergeCell ref="V18:V19"/>
    <mergeCell ref="Y18:Y19"/>
    <mergeCell ref="AD18:AD19"/>
    <mergeCell ref="BK18:BK19"/>
    <mergeCell ref="BL18:BL19"/>
    <mergeCell ref="F19:N19"/>
    <mergeCell ref="B16:B17"/>
    <mergeCell ref="C16:C17"/>
    <mergeCell ref="D16:D17"/>
    <mergeCell ref="E16:E17"/>
    <mergeCell ref="O16:O17"/>
    <mergeCell ref="T16:T17"/>
    <mergeCell ref="T18:T19"/>
    <mergeCell ref="B3:B4"/>
    <mergeCell ref="D3:D4"/>
    <mergeCell ref="E3:E4"/>
    <mergeCell ref="F3:N3"/>
    <mergeCell ref="O3:O4"/>
    <mergeCell ref="W3:W4"/>
    <mergeCell ref="X3:X4"/>
    <mergeCell ref="S9:S10"/>
    <mergeCell ref="V9:V10"/>
    <mergeCell ref="B6:B7"/>
    <mergeCell ref="C6:C7"/>
    <mergeCell ref="B9:B10"/>
    <mergeCell ref="C9:C10"/>
    <mergeCell ref="D9:D10"/>
    <mergeCell ref="E9:E10"/>
    <mergeCell ref="O9:O10"/>
    <mergeCell ref="P9:P10"/>
    <mergeCell ref="F10:N10"/>
    <mergeCell ref="D6:D7"/>
    <mergeCell ref="E6:E7"/>
    <mergeCell ref="O6:O7"/>
    <mergeCell ref="P6:P7"/>
    <mergeCell ref="S6:S7"/>
    <mergeCell ref="R3:R4"/>
    <mergeCell ref="AI9:AI10"/>
    <mergeCell ref="AJ9:AJ10"/>
    <mergeCell ref="T9:T10"/>
    <mergeCell ref="Z9:Z10"/>
    <mergeCell ref="AC9:AC10"/>
    <mergeCell ref="BG3:BG4"/>
    <mergeCell ref="BH3:BH4"/>
    <mergeCell ref="AE3:AE4"/>
    <mergeCell ref="AF3:AF4"/>
    <mergeCell ref="Y3:Y4"/>
    <mergeCell ref="AD3:AD4"/>
    <mergeCell ref="AA3:AA4"/>
    <mergeCell ref="T3:T4"/>
    <mergeCell ref="U3:U4"/>
    <mergeCell ref="V3:V4"/>
    <mergeCell ref="Y9:Y10"/>
    <mergeCell ref="AD9:AD10"/>
    <mergeCell ref="AF9:AF10"/>
    <mergeCell ref="V6:V7"/>
    <mergeCell ref="AG9:AG10"/>
    <mergeCell ref="AH9:AH10"/>
    <mergeCell ref="AJ13:AJ14"/>
    <mergeCell ref="T13:T14"/>
    <mergeCell ref="Z13:Z14"/>
    <mergeCell ref="AC13:AC14"/>
    <mergeCell ref="AD11:AD12"/>
    <mergeCell ref="AF11:AF12"/>
    <mergeCell ref="B11:B12"/>
    <mergeCell ref="C11:C12"/>
    <mergeCell ref="D11:D12"/>
    <mergeCell ref="E11:E12"/>
    <mergeCell ref="O11:O12"/>
    <mergeCell ref="P11:P12"/>
    <mergeCell ref="F12:N12"/>
    <mergeCell ref="AI11:AI12"/>
    <mergeCell ref="AJ11:AJ12"/>
    <mergeCell ref="T11:T12"/>
    <mergeCell ref="Z11:Z12"/>
    <mergeCell ref="AC11:AC12"/>
    <mergeCell ref="S11:S12"/>
    <mergeCell ref="V11:V12"/>
    <mergeCell ref="Y11:Y12"/>
    <mergeCell ref="S13:S14"/>
    <mergeCell ref="V13:V14"/>
    <mergeCell ref="Y13:Y14"/>
    <mergeCell ref="AF13:AF14"/>
    <mergeCell ref="B13:B14"/>
    <mergeCell ref="C13:C14"/>
    <mergeCell ref="D13:D14"/>
    <mergeCell ref="E13:E14"/>
    <mergeCell ref="O13:O14"/>
    <mergeCell ref="P13:P14"/>
    <mergeCell ref="F14:N14"/>
    <mergeCell ref="AI13:AI14"/>
    <mergeCell ref="B46:B47"/>
    <mergeCell ref="C46:C47"/>
    <mergeCell ref="D46:D47"/>
    <mergeCell ref="E46:E47"/>
    <mergeCell ref="U46:U47"/>
    <mergeCell ref="V46:V47"/>
    <mergeCell ref="W46:W47"/>
    <mergeCell ref="X46:X47"/>
    <mergeCell ref="AD13:AD14"/>
    <mergeCell ref="P16:P17"/>
    <mergeCell ref="S16:S17"/>
    <mergeCell ref="V16:V17"/>
    <mergeCell ref="Y16:Y17"/>
    <mergeCell ref="AD16:AD17"/>
    <mergeCell ref="AD31:AD32"/>
    <mergeCell ref="Y38:Y39"/>
    <mergeCell ref="AD38:AD39"/>
    <mergeCell ref="B41:B42"/>
    <mergeCell ref="C41:C42"/>
    <mergeCell ref="D41:D42"/>
    <mergeCell ref="E41:E42"/>
    <mergeCell ref="O41:O42"/>
    <mergeCell ref="P41:P42"/>
    <mergeCell ref="S41:S42"/>
    <mergeCell ref="Q46:Q47"/>
    <mergeCell ref="T46:T47"/>
    <mergeCell ref="S46:S47"/>
    <mergeCell ref="AF46:AF47"/>
    <mergeCell ref="AD46:AD47"/>
    <mergeCell ref="AA46:AA47"/>
    <mergeCell ref="BG46:BG47"/>
    <mergeCell ref="BH46:BH47"/>
    <mergeCell ref="AE46:AE47"/>
    <mergeCell ref="AI46:AI47"/>
    <mergeCell ref="AJ46:AJ47"/>
    <mergeCell ref="Z46:Z47"/>
    <mergeCell ref="AB46:AB47"/>
    <mergeCell ref="Y46:Y47"/>
    <mergeCell ref="R46:R47"/>
    <mergeCell ref="BK75:BK81"/>
    <mergeCell ref="BL75:BL81"/>
    <mergeCell ref="BK49:BK53"/>
    <mergeCell ref="BL49:BL53"/>
    <mergeCell ref="BK55:BK56"/>
    <mergeCell ref="BL55:BL56"/>
    <mergeCell ref="BK58:BK59"/>
    <mergeCell ref="BL58:BL59"/>
    <mergeCell ref="BK61:BK62"/>
    <mergeCell ref="BL61:BL62"/>
    <mergeCell ref="BK63:BK64"/>
    <mergeCell ref="BL63:BL64"/>
    <mergeCell ref="BK65:BK66"/>
    <mergeCell ref="BL65:BL66"/>
    <mergeCell ref="BK68:BK69"/>
    <mergeCell ref="BL68:BL69"/>
    <mergeCell ref="BK70:BK71"/>
    <mergeCell ref="BL70:BL71"/>
    <mergeCell ref="BK72:BK73"/>
    <mergeCell ref="BL72:BL73"/>
    <mergeCell ref="BK9:BK10"/>
    <mergeCell ref="BL9:BL10"/>
    <mergeCell ref="BK11:BK12"/>
    <mergeCell ref="BL11:BL12"/>
    <mergeCell ref="BK13:BK14"/>
    <mergeCell ref="BL13:BL14"/>
    <mergeCell ref="BK46:BK47"/>
    <mergeCell ref="BL46:BL47"/>
    <mergeCell ref="BL36:BL37"/>
    <mergeCell ref="BL31:BL32"/>
    <mergeCell ref="F46:N46"/>
    <mergeCell ref="O46:O47"/>
    <mergeCell ref="P46:P47"/>
    <mergeCell ref="BH6:BH7"/>
    <mergeCell ref="AF6:AF7"/>
    <mergeCell ref="F7:N7"/>
    <mergeCell ref="AE6:AE7"/>
    <mergeCell ref="AI3:AI4"/>
    <mergeCell ref="AI6:AI7"/>
    <mergeCell ref="AJ6:AJ7"/>
    <mergeCell ref="AB3:AB4"/>
    <mergeCell ref="Z3:Z4"/>
    <mergeCell ref="AC3:AC4"/>
    <mergeCell ref="P3:P4"/>
    <mergeCell ref="Q3:Q4"/>
    <mergeCell ref="S3:S4"/>
    <mergeCell ref="AI16:AI17"/>
    <mergeCell ref="AJ16:AJ17"/>
    <mergeCell ref="AI18:AI19"/>
    <mergeCell ref="AJ18:AJ19"/>
    <mergeCell ref="AI20:AI21"/>
    <mergeCell ref="AJ20:AJ21"/>
    <mergeCell ref="AI23:AI24"/>
    <mergeCell ref="AJ23:AJ24"/>
    <mergeCell ref="AI33:AI34"/>
    <mergeCell ref="AJ33:AJ34"/>
    <mergeCell ref="AI36:AI37"/>
    <mergeCell ref="AJ36:AJ37"/>
    <mergeCell ref="AI38:AI39"/>
    <mergeCell ref="AJ38:AJ39"/>
    <mergeCell ref="AI41:AI42"/>
    <mergeCell ref="AJ41:AJ42"/>
    <mergeCell ref="AI44:AI45"/>
    <mergeCell ref="AJ44:AJ45"/>
    <mergeCell ref="T33:T34"/>
    <mergeCell ref="T36:T37"/>
    <mergeCell ref="T38:T39"/>
    <mergeCell ref="T41:T42"/>
    <mergeCell ref="Z16:Z17"/>
    <mergeCell ref="Z18:Z19"/>
    <mergeCell ref="Z20:Z21"/>
    <mergeCell ref="Z23:Z24"/>
    <mergeCell ref="Z31:Z32"/>
    <mergeCell ref="Z33:Z34"/>
    <mergeCell ref="Z36:Z37"/>
    <mergeCell ref="Z38:Z39"/>
    <mergeCell ref="Z41:Z42"/>
    <mergeCell ref="Z28:Z29"/>
    <mergeCell ref="Y23:Y24"/>
    <mergeCell ref="V38:V39"/>
    <mergeCell ref="Y28:Y29"/>
    <mergeCell ref="X28:X29"/>
    <mergeCell ref="W28:W29"/>
    <mergeCell ref="V28:V29"/>
    <mergeCell ref="U28:U29"/>
    <mergeCell ref="T28:T29"/>
    <mergeCell ref="AC44:AC45"/>
    <mergeCell ref="AC46:AC47"/>
    <mergeCell ref="AC16:AC17"/>
    <mergeCell ref="AC18:AC19"/>
    <mergeCell ref="AC20:AC21"/>
    <mergeCell ref="AC23:AC24"/>
    <mergeCell ref="AC31:AC32"/>
    <mergeCell ref="AC33:AC34"/>
    <mergeCell ref="AC36:AC37"/>
    <mergeCell ref="AC38:AC39"/>
    <mergeCell ref="AC41:AC42"/>
    <mergeCell ref="AE28:AE29"/>
    <mergeCell ref="AF28:AF29"/>
    <mergeCell ref="AI28:AI29"/>
    <mergeCell ref="BG28:BG29"/>
    <mergeCell ref="BH28:BH29"/>
    <mergeCell ref="AC28:AC29"/>
    <mergeCell ref="AD28:AD29"/>
    <mergeCell ref="AB28:AB29"/>
    <mergeCell ref="AA28:AA29"/>
    <mergeCell ref="B1:AF1"/>
    <mergeCell ref="AI1:BH1"/>
    <mergeCell ref="F2:N2"/>
    <mergeCell ref="F25:N25"/>
    <mergeCell ref="B26:AF26"/>
    <mergeCell ref="AI26:BH26"/>
    <mergeCell ref="F27:N27"/>
    <mergeCell ref="F53:N53"/>
    <mergeCell ref="A6:A7"/>
    <mergeCell ref="A9:A10"/>
    <mergeCell ref="A11:A12"/>
    <mergeCell ref="A13:A14"/>
    <mergeCell ref="A16:A17"/>
    <mergeCell ref="A18:A19"/>
    <mergeCell ref="A20:A21"/>
    <mergeCell ref="A23:A24"/>
    <mergeCell ref="A31:A32"/>
    <mergeCell ref="A33:A34"/>
    <mergeCell ref="A36:A37"/>
    <mergeCell ref="A38:A39"/>
    <mergeCell ref="A41:A42"/>
    <mergeCell ref="A44:A45"/>
    <mergeCell ref="AG6:AG7"/>
    <mergeCell ref="AH6:AH7"/>
    <mergeCell ref="AG36:AG37"/>
    <mergeCell ref="AH36:AH37"/>
    <mergeCell ref="AG38:AG39"/>
    <mergeCell ref="AH38:AH39"/>
    <mergeCell ref="AG11:AG12"/>
    <mergeCell ref="AH11:AH12"/>
    <mergeCell ref="AG13:AG14"/>
    <mergeCell ref="AH13:AH14"/>
    <mergeCell ref="AG16:AG17"/>
    <mergeCell ref="AH16:AH17"/>
    <mergeCell ref="AG18:AG19"/>
    <mergeCell ref="AH18:AH19"/>
    <mergeCell ref="AG20:AG21"/>
    <mergeCell ref="AH20:AH21"/>
    <mergeCell ref="AG41:AG42"/>
    <mergeCell ref="AH41:AH42"/>
    <mergeCell ref="AG44:AG45"/>
    <mergeCell ref="AH44:AH45"/>
    <mergeCell ref="BI6:BI7"/>
    <mergeCell ref="BI9:BI10"/>
    <mergeCell ref="BI11:BI12"/>
    <mergeCell ref="BI13:BI14"/>
    <mergeCell ref="BI16:BI17"/>
    <mergeCell ref="BI18:BI19"/>
    <mergeCell ref="BI20:BI21"/>
    <mergeCell ref="BI23:BI24"/>
    <mergeCell ref="BI31:BI32"/>
    <mergeCell ref="BI33:BI34"/>
    <mergeCell ref="BI36:BI37"/>
    <mergeCell ref="BI38:BI39"/>
    <mergeCell ref="BI41:BI42"/>
    <mergeCell ref="BI44:BI45"/>
    <mergeCell ref="AG23:AG24"/>
    <mergeCell ref="AH23:AH24"/>
    <mergeCell ref="AG31:AG32"/>
    <mergeCell ref="AH31:AH32"/>
    <mergeCell ref="AG33:AG34"/>
    <mergeCell ref="AH33:AH34"/>
  </mergeCells>
  <conditionalFormatting sqref="E9 E11 E13">
    <cfRule type="containsText" dxfId="64" priority="41" operator="containsText" text="Desirable">
      <formula>NOT(ISERROR(SEARCH("Desirable",E9)))</formula>
    </cfRule>
    <cfRule type="containsText" dxfId="63" priority="39" operator="containsText" text="Critical">
      <formula>NOT(ISERROR(SEARCH("Critical",E9)))</formula>
    </cfRule>
    <cfRule type="containsText" dxfId="62" priority="40" operator="containsText" text="Essential">
      <formula>NOT(ISERROR(SEARCH("Essential",E9)))</formula>
    </cfRule>
  </conditionalFormatting>
  <conditionalFormatting sqref="E9">
    <cfRule type="containsText" dxfId="61" priority="38" operator="containsText" text="Required">
      <formula>NOT(ISERROR(SEARCH("Required",E9)))</formula>
    </cfRule>
  </conditionalFormatting>
  <conditionalFormatting sqref="E11 E13">
    <cfRule type="containsText" dxfId="60" priority="37" operator="containsText" text="Required">
      <formula>NOT(ISERROR(SEARCH("Required",E11)))</formula>
    </cfRule>
  </conditionalFormatting>
  <conditionalFormatting sqref="E16 E18">
    <cfRule type="containsText" dxfId="59" priority="32" operator="containsText" text="Desirable">
      <formula>NOT(ISERROR(SEARCH("Desirable",E16)))</formula>
    </cfRule>
    <cfRule type="containsText" dxfId="58" priority="31" operator="containsText" text="Essential">
      <formula>NOT(ISERROR(SEARCH("Essential",E16)))</formula>
    </cfRule>
    <cfRule type="containsText" dxfId="57" priority="30" operator="containsText" text="Critical">
      <formula>NOT(ISERROR(SEARCH("Critical",E16)))</formula>
    </cfRule>
    <cfRule type="containsText" dxfId="56" priority="29" operator="containsText" text="Required">
      <formula>NOT(ISERROR(SEARCH("Required",E16)))</formula>
    </cfRule>
  </conditionalFormatting>
  <conditionalFormatting sqref="E20">
    <cfRule type="containsText" dxfId="55" priority="9" operator="containsText" text="Required">
      <formula>NOT(ISERROR(SEARCH("Required",E20)))</formula>
    </cfRule>
    <cfRule type="containsText" dxfId="54" priority="10" operator="containsText" text="Critical">
      <formula>NOT(ISERROR(SEARCH("Critical",E20)))</formula>
    </cfRule>
    <cfRule type="containsText" dxfId="53" priority="11" operator="containsText" text="Essential">
      <formula>NOT(ISERROR(SEARCH("Essential",E20)))</formula>
    </cfRule>
    <cfRule type="containsText" dxfId="52" priority="12" operator="containsText" text="Desirable">
      <formula>NOT(ISERROR(SEARCH("Desirable",E20)))</formula>
    </cfRule>
  </conditionalFormatting>
  <conditionalFormatting sqref="E23 E31">
    <cfRule type="containsText" dxfId="51" priority="27" operator="containsText" text="Essential">
      <formula>NOT(ISERROR(SEARCH("Essential",E23)))</formula>
    </cfRule>
    <cfRule type="containsText" dxfId="50" priority="26" operator="containsText" text="Critical">
      <formula>NOT(ISERROR(SEARCH("Critical",E23)))</formula>
    </cfRule>
    <cfRule type="containsText" dxfId="49" priority="25" operator="containsText" text="Required">
      <formula>NOT(ISERROR(SEARCH("Required",E23)))</formula>
    </cfRule>
    <cfRule type="containsText" dxfId="48" priority="28" operator="containsText" text="Desirable">
      <formula>NOT(ISERROR(SEARCH("Desirable",E23)))</formula>
    </cfRule>
  </conditionalFormatting>
  <conditionalFormatting sqref="E33">
    <cfRule type="containsText" dxfId="47" priority="6" operator="containsText" text="Critical">
      <formula>NOT(ISERROR(SEARCH("Critical",E33)))</formula>
    </cfRule>
    <cfRule type="containsText" dxfId="46" priority="7" operator="containsText" text="Essential">
      <formula>NOT(ISERROR(SEARCH("Essential",E33)))</formula>
    </cfRule>
    <cfRule type="containsText" dxfId="45" priority="8" operator="containsText" text="Desirable">
      <formula>NOT(ISERROR(SEARCH("Desirable",E33)))</formula>
    </cfRule>
    <cfRule type="containsText" dxfId="44" priority="5" operator="containsText" text="Required">
      <formula>NOT(ISERROR(SEARCH("Required",E33)))</formula>
    </cfRule>
  </conditionalFormatting>
  <conditionalFormatting sqref="E36 E38">
    <cfRule type="containsText" dxfId="43" priority="22" operator="containsText" text="Critical">
      <formula>NOT(ISERROR(SEARCH("Critical",E36)))</formula>
    </cfRule>
    <cfRule type="containsText" dxfId="42" priority="23" operator="containsText" text="Essential">
      <formula>NOT(ISERROR(SEARCH("Essential",E36)))</formula>
    </cfRule>
    <cfRule type="containsText" dxfId="41" priority="24" operator="containsText" text="Desirable">
      <formula>NOT(ISERROR(SEARCH("Desirable",E36)))</formula>
    </cfRule>
    <cfRule type="containsText" dxfId="40" priority="21" operator="containsText" text="Required">
      <formula>NOT(ISERROR(SEARCH("Required",E36)))</formula>
    </cfRule>
  </conditionalFormatting>
  <conditionalFormatting sqref="E41">
    <cfRule type="containsText" dxfId="39" priority="19" operator="containsText" text="Essential">
      <formula>NOT(ISERROR(SEARCH("Essential",E41)))</formula>
    </cfRule>
    <cfRule type="containsText" dxfId="38" priority="18" operator="containsText" text="Critical">
      <formula>NOT(ISERROR(SEARCH("Critical",E41)))</formula>
    </cfRule>
    <cfRule type="containsText" dxfId="37" priority="17" operator="containsText" text="Required">
      <formula>NOT(ISERROR(SEARCH("Required",E41)))</formula>
    </cfRule>
    <cfRule type="containsText" dxfId="36" priority="20" operator="containsText" text="Desirable">
      <formula>NOT(ISERROR(SEARCH("Desirable",E41)))</formula>
    </cfRule>
  </conditionalFormatting>
  <conditionalFormatting sqref="E44">
    <cfRule type="containsText" dxfId="35" priority="16" operator="containsText" text="Desirable">
      <formula>NOT(ISERROR(SEARCH("Desirable",E44)))</formula>
    </cfRule>
    <cfRule type="containsText" dxfId="34" priority="15" operator="containsText" text="Essential">
      <formula>NOT(ISERROR(SEARCH("Essential",E44)))</formula>
    </cfRule>
    <cfRule type="containsText" dxfId="33" priority="14" operator="containsText" text="Critical">
      <formula>NOT(ISERROR(SEARCH("Critical",E44)))</formula>
    </cfRule>
    <cfRule type="containsText" dxfId="32" priority="13" operator="containsText" text="Required">
      <formula>NOT(ISERROR(SEARCH("Required",E44)))</formula>
    </cfRule>
  </conditionalFormatting>
  <pageMargins left="0.19685039370078741" right="0.19685039370078741" top="0.19685039370078741" bottom="0.19685039370078741" header="7.874015748031496E-2" footer="0"/>
  <pageSetup paperSize="8" scale="35" fitToHeight="0" pageOrder="overThenDown" orientation="landscape" r:id="rId1"/>
  <rowBreaks count="1" manualBreakCount="1">
    <brk id="25" max="59" man="1"/>
  </rowBreaks>
  <colBreaks count="1" manualBreakCount="1">
    <brk id="33" max="5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DJ36"/>
  <sheetViews>
    <sheetView showGridLines="0" zoomScaleNormal="100" workbookViewId="0">
      <pane xSplit="3" ySplit="1" topLeftCell="D3" activePane="bottomRight" state="frozen"/>
      <selection pane="topRight" activeCell="S7" sqref="S7:S8"/>
      <selection pane="bottomLeft" activeCell="S7" sqref="S7:S8"/>
      <selection pane="bottomRight" activeCell="S7" sqref="S7:S8"/>
    </sheetView>
  </sheetViews>
  <sheetFormatPr defaultColWidth="8.90625" defaultRowHeight="14.5" outlineLevelCol="1" x14ac:dyDescent="0.35"/>
  <cols>
    <col min="1" max="2" width="8.90625" style="4" customWidth="1"/>
    <col min="3" max="3" width="44.453125" style="4" customWidth="1"/>
    <col min="4" max="4" width="11.08984375" style="4" customWidth="1"/>
    <col min="5" max="6" width="22.08984375" style="4" customWidth="1"/>
    <col min="7" max="7" width="16.453125" style="4" customWidth="1"/>
    <col min="8" max="8" width="33.08984375" style="58" customWidth="1"/>
    <col min="9" max="10" width="16.90625" style="4" customWidth="1"/>
    <col min="11" max="11" width="16.90625" style="58" customWidth="1"/>
    <col min="12" max="12" width="33.08984375" style="4" customWidth="1"/>
    <col min="13" max="13" width="16.90625" style="4" customWidth="1"/>
    <col min="14" max="14" width="11.08984375" style="4" customWidth="1"/>
    <col min="15" max="20" width="7.90625" style="4" customWidth="1"/>
    <col min="21" max="26" width="7.90625" style="4" hidden="1" customWidth="1" outlineLevel="1"/>
    <col min="27" max="27" width="55.54296875" style="4" customWidth="1" collapsed="1"/>
    <col min="28" max="28" width="22.08984375" style="4" hidden="1" customWidth="1" outlineLevel="1"/>
    <col min="29" max="29" width="33.08984375" style="4" hidden="1" customWidth="1" outlineLevel="1"/>
    <col min="30" max="30" width="12.08984375" style="4" hidden="1" customWidth="1" outlineLevel="1"/>
    <col min="31" max="31" width="33.08984375" style="58" hidden="1" customWidth="1" outlineLevel="1"/>
    <col min="32" max="32" width="11.08984375" style="4" customWidth="1" collapsed="1"/>
    <col min="33" max="33" width="20" style="4" customWidth="1"/>
    <col min="34" max="62" width="16.90625" style="4" customWidth="1"/>
    <col min="63" max="64" width="8.90625" style="4"/>
    <col min="65" max="65" width="0" style="289" hidden="1" customWidth="1" outlineLevel="1"/>
    <col min="66" max="113" width="16.90625" style="289" hidden="1" customWidth="1" outlineLevel="1"/>
    <col min="114" max="114" width="8.90625" style="4" collapsed="1"/>
    <col min="115" max="16384" width="8.90625" style="4"/>
  </cols>
  <sheetData>
    <row r="1" spans="1:113" s="348" customFormat="1" ht="74.400000000000006" customHeight="1" x14ac:dyDescent="0.35">
      <c r="A1" s="2" t="s">
        <v>210</v>
      </c>
      <c r="B1" s="54" t="s">
        <v>211</v>
      </c>
      <c r="C1" s="2" t="s">
        <v>212</v>
      </c>
      <c r="D1" s="2" t="s">
        <v>213</v>
      </c>
      <c r="E1" s="2" t="s">
        <v>214</v>
      </c>
      <c r="F1" s="93" t="s">
        <v>215</v>
      </c>
      <c r="G1" s="92" t="s">
        <v>1</v>
      </c>
      <c r="H1" s="3"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54" t="s">
        <v>220</v>
      </c>
      <c r="AB1" s="54" t="s">
        <v>221</v>
      </c>
      <c r="AC1" s="2" t="s">
        <v>222</v>
      </c>
      <c r="AD1" s="2" t="s">
        <v>223</v>
      </c>
      <c r="AE1" s="211" t="s">
        <v>224</v>
      </c>
      <c r="AF1" s="2" t="s">
        <v>225</v>
      </c>
      <c r="AG1" s="93" t="s">
        <v>226</v>
      </c>
      <c r="AH1" s="106" t="s">
        <v>171</v>
      </c>
      <c r="AI1" s="298"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287"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s="348" customFormat="1" ht="98" x14ac:dyDescent="0.3">
      <c r="A2" s="425" t="s">
        <v>1983</v>
      </c>
      <c r="B2" s="90" t="s">
        <v>1984</v>
      </c>
      <c r="C2" s="1" t="s">
        <v>1985</v>
      </c>
      <c r="D2" s="1" t="s">
        <v>246</v>
      </c>
      <c r="E2" s="1" t="s">
        <v>1986</v>
      </c>
      <c r="F2" s="94" t="s">
        <v>1987</v>
      </c>
      <c r="G2" s="111" t="s">
        <v>371</v>
      </c>
      <c r="H2" s="112"/>
      <c r="I2" s="57">
        <v>0</v>
      </c>
      <c r="J2" s="426" t="s">
        <v>371</v>
      </c>
      <c r="K2" s="112">
        <v>0</v>
      </c>
      <c r="L2" s="117"/>
      <c r="M2" s="389" t="s">
        <v>371</v>
      </c>
      <c r="N2" s="100" t="s">
        <v>308</v>
      </c>
      <c r="O2" s="98"/>
      <c r="P2" s="9"/>
      <c r="Q2" s="9"/>
      <c r="R2" s="9"/>
      <c r="S2" s="9"/>
      <c r="T2" s="103"/>
      <c r="U2" s="224"/>
      <c r="V2" s="226"/>
      <c r="W2" s="226"/>
      <c r="X2" s="226"/>
      <c r="Y2" s="226"/>
      <c r="Z2" s="227"/>
      <c r="AA2" s="96" t="s">
        <v>1988</v>
      </c>
      <c r="AB2" s="96" t="s">
        <v>239</v>
      </c>
      <c r="AC2" s="1" t="s">
        <v>1989</v>
      </c>
      <c r="AD2" s="274" t="s">
        <v>241</v>
      </c>
      <c r="AE2" s="90"/>
      <c r="AF2" s="97" t="s">
        <v>242</v>
      </c>
      <c r="AG2" s="94" t="s">
        <v>252</v>
      </c>
      <c r="AH2" s="107" t="s">
        <v>371</v>
      </c>
      <c r="AI2" s="11"/>
      <c r="AJ2" s="11"/>
      <c r="AK2" s="11"/>
      <c r="AL2" s="11"/>
      <c r="AM2" s="1"/>
      <c r="AN2" s="1"/>
      <c r="AO2" s="1"/>
      <c r="AP2" s="1"/>
      <c r="AQ2" s="1"/>
      <c r="AR2" s="1"/>
      <c r="AS2" s="1"/>
      <c r="AT2" s="1"/>
      <c r="AU2" s="1"/>
      <c r="AV2" s="1"/>
      <c r="AW2" s="1"/>
      <c r="AX2" s="1"/>
      <c r="AY2" s="1"/>
      <c r="AZ2" s="1"/>
      <c r="BA2" s="1"/>
      <c r="BB2" s="1"/>
      <c r="BC2" s="1"/>
      <c r="BD2" s="1"/>
      <c r="BE2" s="1"/>
      <c r="BF2" s="1"/>
      <c r="BG2" s="1"/>
      <c r="BH2" s="1"/>
      <c r="BI2" s="1"/>
      <c r="BJ2" s="1"/>
      <c r="BK2" s="288" t="b">
        <f>K2=SUM(AH2:BJ2)</f>
        <v>1</v>
      </c>
      <c r="BM2" s="356"/>
      <c r="BN2" s="238"/>
      <c r="BO2" s="238"/>
      <c r="BP2" s="238"/>
      <c r="BQ2" s="238"/>
      <c r="BR2" s="238"/>
      <c r="BS2" s="238"/>
      <c r="BT2" s="360">
        <f>$U2*AI2</f>
        <v>0</v>
      </c>
      <c r="BU2" s="360">
        <f>$V2*AI2</f>
        <v>0</v>
      </c>
      <c r="BV2" s="360">
        <f>$W2*AI2</f>
        <v>0</v>
      </c>
      <c r="BW2" s="360">
        <f>$X2*AI2</f>
        <v>0</v>
      </c>
      <c r="BX2" s="360">
        <f>$Y2*AI2</f>
        <v>0</v>
      </c>
      <c r="BY2" s="360">
        <f>$Z2*AI2</f>
        <v>0</v>
      </c>
      <c r="BZ2" s="360">
        <f>$U2*AJ2</f>
        <v>0</v>
      </c>
      <c r="CA2" s="360">
        <f>$V2*AJ2</f>
        <v>0</v>
      </c>
      <c r="CB2" s="360">
        <f>$W2*AJ2</f>
        <v>0</v>
      </c>
      <c r="CC2" s="360">
        <f>$X2*AJ2</f>
        <v>0</v>
      </c>
      <c r="CD2" s="360">
        <f>$Y2*AJ2</f>
        <v>0</v>
      </c>
      <c r="CE2" s="360">
        <f>$Z2*AJ2</f>
        <v>0</v>
      </c>
      <c r="CF2" s="360">
        <f>$U2*AK2</f>
        <v>0</v>
      </c>
      <c r="CG2" s="360">
        <f>$V2*AK2</f>
        <v>0</v>
      </c>
      <c r="CH2" s="360">
        <f>$W2*AK2</f>
        <v>0</v>
      </c>
      <c r="CI2" s="360">
        <f>$X2*AK2</f>
        <v>0</v>
      </c>
      <c r="CJ2" s="360">
        <f>$Y2*AK2</f>
        <v>0</v>
      </c>
      <c r="CK2" s="360">
        <f>$Z2*AK2</f>
        <v>0</v>
      </c>
      <c r="CL2" s="360">
        <f>$U2*AL2</f>
        <v>0</v>
      </c>
      <c r="CM2" s="360">
        <f>$V2*AL2</f>
        <v>0</v>
      </c>
      <c r="CN2" s="360">
        <f>$W2*AL2</f>
        <v>0</v>
      </c>
      <c r="CO2" s="360">
        <f>$X2*AL2</f>
        <v>0</v>
      </c>
      <c r="CP2" s="360">
        <f>$Y2*AL2</f>
        <v>0</v>
      </c>
      <c r="CQ2" s="360">
        <f>$Z2*AL2</f>
        <v>0</v>
      </c>
      <c r="CR2" s="360">
        <f>$U2*AM2</f>
        <v>0</v>
      </c>
      <c r="CS2" s="360">
        <f>$V2*AM2</f>
        <v>0</v>
      </c>
      <c r="CT2" s="360">
        <f>$W2*AM2</f>
        <v>0</v>
      </c>
      <c r="CU2" s="360">
        <f>$X2*AM2</f>
        <v>0</v>
      </c>
      <c r="CV2" s="360">
        <f>$Y2*AM2</f>
        <v>0</v>
      </c>
      <c r="CW2" s="360">
        <f>$Z2*AM2</f>
        <v>0</v>
      </c>
      <c r="CX2" s="360">
        <f>$U2*AN2</f>
        <v>0</v>
      </c>
      <c r="CY2" s="360">
        <f>$V2*AN2</f>
        <v>0</v>
      </c>
      <c r="CZ2" s="360">
        <f>$W2*AN2</f>
        <v>0</v>
      </c>
      <c r="DA2" s="360">
        <f>$X2*AN2</f>
        <v>0</v>
      </c>
      <c r="DB2" s="360">
        <f>$Y2*AN2</f>
        <v>0</v>
      </c>
      <c r="DC2" s="360">
        <f>$Z2*AN2</f>
        <v>0</v>
      </c>
      <c r="DD2" s="360">
        <f>$U2*AO2</f>
        <v>0</v>
      </c>
      <c r="DE2" s="360">
        <f>$V2*AO2</f>
        <v>0</v>
      </c>
      <c r="DF2" s="360">
        <f>$W2*AO2</f>
        <v>0</v>
      </c>
      <c r="DG2" s="360">
        <f>$X2*AO2</f>
        <v>0</v>
      </c>
      <c r="DH2" s="360">
        <f>$Y2*AO2</f>
        <v>0</v>
      </c>
      <c r="DI2" s="360">
        <f>$Z2*AO2</f>
        <v>0</v>
      </c>
    </row>
    <row r="3" spans="1:113" ht="140" x14ac:dyDescent="0.3">
      <c r="A3" s="55" t="s">
        <v>1990</v>
      </c>
      <c r="B3" s="90" t="s">
        <v>1991</v>
      </c>
      <c r="C3" s="1" t="s">
        <v>1992</v>
      </c>
      <c r="D3" s="1" t="s">
        <v>246</v>
      </c>
      <c r="E3" s="1" t="s">
        <v>1993</v>
      </c>
      <c r="F3" s="94" t="s">
        <v>1994</v>
      </c>
      <c r="G3" s="113">
        <v>12000000</v>
      </c>
      <c r="H3" s="114" t="s">
        <v>1995</v>
      </c>
      <c r="I3" s="48">
        <v>341482</v>
      </c>
      <c r="J3" s="48">
        <f>G3-I3</f>
        <v>11658518</v>
      </c>
      <c r="K3" s="118">
        <v>440000</v>
      </c>
      <c r="L3" s="147" t="s">
        <v>1996</v>
      </c>
      <c r="M3" s="389">
        <f>J3-K3</f>
        <v>11218518</v>
      </c>
      <c r="N3" s="131" t="s">
        <v>1997</v>
      </c>
      <c r="O3" s="29"/>
      <c r="P3" s="9"/>
      <c r="Q3" s="99"/>
      <c r="R3" s="29"/>
      <c r="S3" s="29"/>
      <c r="T3" s="104"/>
      <c r="U3" s="249"/>
      <c r="V3" s="249"/>
      <c r="W3" s="248">
        <v>1</v>
      </c>
      <c r="X3" s="249"/>
      <c r="Y3" s="249"/>
      <c r="Z3" s="250"/>
      <c r="AA3" s="96"/>
      <c r="AB3" s="96" t="s">
        <v>309</v>
      </c>
      <c r="AC3" s="11" t="s">
        <v>1377</v>
      </c>
      <c r="AD3" s="275" t="s">
        <v>346</v>
      </c>
      <c r="AE3" s="215"/>
      <c r="AF3" s="405" t="s">
        <v>461</v>
      </c>
      <c r="AG3" s="109" t="s">
        <v>293</v>
      </c>
      <c r="AH3" s="108"/>
      <c r="AI3" s="12"/>
      <c r="AJ3" s="12"/>
      <c r="AK3" s="12"/>
      <c r="AL3" s="12"/>
      <c r="AM3" s="12"/>
      <c r="AN3" s="1"/>
      <c r="AO3" s="1"/>
      <c r="AP3" s="1"/>
      <c r="AQ3" s="1"/>
      <c r="AR3" s="1"/>
      <c r="AS3" s="1"/>
      <c r="AT3" s="1"/>
      <c r="AU3" s="1"/>
      <c r="AV3" s="1"/>
      <c r="AW3" s="427">
        <f>K3</f>
        <v>440000</v>
      </c>
      <c r="AX3" s="1"/>
      <c r="AY3" s="1"/>
      <c r="AZ3" s="1"/>
      <c r="BA3" s="1"/>
      <c r="BB3" s="1"/>
      <c r="BC3" s="1"/>
      <c r="BD3" s="1"/>
      <c r="BE3" s="1"/>
      <c r="BF3" s="1"/>
      <c r="BG3" s="1"/>
      <c r="BH3" s="1"/>
      <c r="BI3" s="1"/>
      <c r="BJ3" s="1"/>
      <c r="BK3" s="288" t="b">
        <f>K3=SUM(AH3:BJ3)</f>
        <v>1</v>
      </c>
      <c r="BM3" s="356"/>
      <c r="BN3" s="360">
        <f>$U3*AH3</f>
        <v>0</v>
      </c>
      <c r="BO3" s="360">
        <f>$V3*AH3</f>
        <v>0</v>
      </c>
      <c r="BP3" s="360">
        <f>$W3*AH3</f>
        <v>0</v>
      </c>
      <c r="BQ3" s="360">
        <f>$X3*AH3</f>
        <v>0</v>
      </c>
      <c r="BR3" s="360">
        <f>$Y3*AH3</f>
        <v>0</v>
      </c>
      <c r="BS3" s="360">
        <f>$Z3*AH3</f>
        <v>0</v>
      </c>
      <c r="BT3" s="360">
        <f>$U3*AI3</f>
        <v>0</v>
      </c>
      <c r="BU3" s="360">
        <f>$V3*AI3</f>
        <v>0</v>
      </c>
      <c r="BV3" s="360">
        <f>$W3*AI3</f>
        <v>0</v>
      </c>
      <c r="BW3" s="360">
        <f>$X3*AI3</f>
        <v>0</v>
      </c>
      <c r="BX3" s="360">
        <f>$Y3*AI3</f>
        <v>0</v>
      </c>
      <c r="BY3" s="360">
        <f>$Z3*AI3</f>
        <v>0</v>
      </c>
      <c r="BZ3" s="360">
        <f>$U3*AJ3</f>
        <v>0</v>
      </c>
      <c r="CA3" s="360">
        <f>$V3*AJ3</f>
        <v>0</v>
      </c>
      <c r="CB3" s="360">
        <f>$W3*AJ3</f>
        <v>0</v>
      </c>
      <c r="CC3" s="360">
        <f>$X3*AJ3</f>
        <v>0</v>
      </c>
      <c r="CD3" s="360">
        <f>$Y3*AJ3</f>
        <v>0</v>
      </c>
      <c r="CE3" s="360">
        <f>$Z3*AJ3</f>
        <v>0</v>
      </c>
      <c r="CF3" s="360">
        <f>$U3*AK3</f>
        <v>0</v>
      </c>
      <c r="CG3" s="360">
        <f>$V3*AK3</f>
        <v>0</v>
      </c>
      <c r="CH3" s="360">
        <f>$W3*AK3</f>
        <v>0</v>
      </c>
      <c r="CI3" s="360">
        <f>$X3*AK3</f>
        <v>0</v>
      </c>
      <c r="CJ3" s="360">
        <f>$Y3*AK3</f>
        <v>0</v>
      </c>
      <c r="CK3" s="360">
        <f>$Z3*AK3</f>
        <v>0</v>
      </c>
      <c r="CL3" s="360">
        <f>$U3*AL3</f>
        <v>0</v>
      </c>
      <c r="CM3" s="360">
        <f>$V3*AL3</f>
        <v>0</v>
      </c>
      <c r="CN3" s="360">
        <f>$W3*AL3</f>
        <v>0</v>
      </c>
      <c r="CO3" s="360">
        <f>$X3*AL3</f>
        <v>0</v>
      </c>
      <c r="CP3" s="360">
        <f>$Y3*AL3</f>
        <v>0</v>
      </c>
      <c r="CQ3" s="360">
        <f>$Z3*AL3</f>
        <v>0</v>
      </c>
      <c r="CR3" s="360">
        <f>$U3*AM3</f>
        <v>0</v>
      </c>
      <c r="CS3" s="360">
        <f>$V3*AM3</f>
        <v>0</v>
      </c>
      <c r="CT3" s="360">
        <f>$W3*AM3</f>
        <v>0</v>
      </c>
      <c r="CU3" s="360">
        <f>$X3*AM3</f>
        <v>0</v>
      </c>
      <c r="CV3" s="360">
        <f>$Y3*AM3</f>
        <v>0</v>
      </c>
      <c r="CW3" s="360">
        <f>$Z3*AM3</f>
        <v>0</v>
      </c>
      <c r="CX3" s="360">
        <f>$U3*AN3</f>
        <v>0</v>
      </c>
      <c r="CY3" s="360">
        <f>$V3*AN3</f>
        <v>0</v>
      </c>
      <c r="CZ3" s="360">
        <f>$W3*AN3</f>
        <v>0</v>
      </c>
      <c r="DA3" s="360">
        <f>$X3*AN3</f>
        <v>0</v>
      </c>
      <c r="DB3" s="360">
        <f>$Y3*AN3</f>
        <v>0</v>
      </c>
      <c r="DC3" s="360">
        <f>$Z3*AN3</f>
        <v>0</v>
      </c>
      <c r="DD3" s="360">
        <f>$U3*AO3</f>
        <v>0</v>
      </c>
      <c r="DE3" s="360">
        <f>$V3*AO3</f>
        <v>0</v>
      </c>
      <c r="DF3" s="360">
        <f>$W3*AO3</f>
        <v>0</v>
      </c>
      <c r="DG3" s="360">
        <f>$X3*AO3</f>
        <v>0</v>
      </c>
      <c r="DH3" s="360">
        <f>$Y3*AO3</f>
        <v>0</v>
      </c>
      <c r="DI3" s="360">
        <f>$Z3*AO3</f>
        <v>0</v>
      </c>
    </row>
    <row r="4" spans="1:113" ht="42" x14ac:dyDescent="0.3">
      <c r="A4" s="55" t="s">
        <v>1998</v>
      </c>
      <c r="B4" s="91"/>
      <c r="C4" s="11" t="s">
        <v>1999</v>
      </c>
      <c r="D4" s="56" t="s">
        <v>281</v>
      </c>
      <c r="E4" s="24" t="s">
        <v>289</v>
      </c>
      <c r="F4" s="95" t="s">
        <v>1987</v>
      </c>
      <c r="G4" s="115" t="s">
        <v>2000</v>
      </c>
      <c r="H4" s="116"/>
      <c r="I4" s="57">
        <v>0</v>
      </c>
      <c r="J4" s="57" t="s">
        <v>232</v>
      </c>
      <c r="K4" s="112">
        <v>0</v>
      </c>
      <c r="L4" s="119"/>
      <c r="M4" s="389" t="s">
        <v>232</v>
      </c>
      <c r="N4" s="101" t="s">
        <v>2001</v>
      </c>
      <c r="O4" s="99"/>
      <c r="P4" s="99"/>
      <c r="Q4" s="99"/>
      <c r="R4" s="99"/>
      <c r="S4" s="99"/>
      <c r="T4" s="105"/>
      <c r="U4" s="236"/>
      <c r="V4" s="236"/>
      <c r="W4" s="236"/>
      <c r="X4" s="236"/>
      <c r="Y4" s="236"/>
      <c r="Z4" s="237"/>
      <c r="AA4" s="101"/>
      <c r="AB4" s="24"/>
      <c r="AC4" s="1" t="s">
        <v>2002</v>
      </c>
      <c r="AD4" s="1" t="s">
        <v>232</v>
      </c>
      <c r="AE4" s="91"/>
      <c r="AF4" s="97" t="s">
        <v>242</v>
      </c>
      <c r="AG4" s="94" t="s">
        <v>252</v>
      </c>
      <c r="AH4" s="108"/>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288" t="b">
        <f>K4=SUM(AH4:BJ4)</f>
        <v>1</v>
      </c>
      <c r="BM4" s="356"/>
      <c r="BN4" s="360">
        <f>$U4*AH4</f>
        <v>0</v>
      </c>
      <c r="BO4" s="360">
        <f>$V4*AH4</f>
        <v>0</v>
      </c>
      <c r="BP4" s="360">
        <f>$W4*AH4</f>
        <v>0</v>
      </c>
      <c r="BQ4" s="360">
        <f>$X4*AH4</f>
        <v>0</v>
      </c>
      <c r="BR4" s="360">
        <f>$Y4*AH4</f>
        <v>0</v>
      </c>
      <c r="BS4" s="360">
        <f>$Z4*AH4</f>
        <v>0</v>
      </c>
      <c r="BT4" s="360">
        <f>$U4*AI4</f>
        <v>0</v>
      </c>
      <c r="BU4" s="360">
        <f>$V4*AI4</f>
        <v>0</v>
      </c>
      <c r="BV4" s="360">
        <f>$W4*AI4</f>
        <v>0</v>
      </c>
      <c r="BW4" s="360">
        <f>$X4*AI4</f>
        <v>0</v>
      </c>
      <c r="BX4" s="360">
        <f>$Y4*AI4</f>
        <v>0</v>
      </c>
      <c r="BY4" s="360">
        <f>$Z4*AI4</f>
        <v>0</v>
      </c>
      <c r="BZ4" s="360">
        <f>$U4*AJ4</f>
        <v>0</v>
      </c>
      <c r="CA4" s="360">
        <f>$V4*AJ4</f>
        <v>0</v>
      </c>
      <c r="CB4" s="360">
        <f>$W4*AJ4</f>
        <v>0</v>
      </c>
      <c r="CC4" s="360">
        <f>$X4*AJ4</f>
        <v>0</v>
      </c>
      <c r="CD4" s="360">
        <f>$Y4*AJ4</f>
        <v>0</v>
      </c>
      <c r="CE4" s="360">
        <f>$Z4*AJ4</f>
        <v>0</v>
      </c>
      <c r="CF4" s="360">
        <f>$U4*AK4</f>
        <v>0</v>
      </c>
      <c r="CG4" s="360">
        <f>$V4*AK4</f>
        <v>0</v>
      </c>
      <c r="CH4" s="360">
        <f>$W4*AK4</f>
        <v>0</v>
      </c>
      <c r="CI4" s="360">
        <f>$X4*AK4</f>
        <v>0</v>
      </c>
      <c r="CJ4" s="360">
        <f>$Y4*AK4</f>
        <v>0</v>
      </c>
      <c r="CK4" s="360">
        <f>$Z4*AK4</f>
        <v>0</v>
      </c>
      <c r="CL4" s="360">
        <f>$U4*AL4</f>
        <v>0</v>
      </c>
      <c r="CM4" s="360">
        <f>$V4*AL4</f>
        <v>0</v>
      </c>
      <c r="CN4" s="360">
        <f>$W4*AL4</f>
        <v>0</v>
      </c>
      <c r="CO4" s="360">
        <f>$X4*AL4</f>
        <v>0</v>
      </c>
      <c r="CP4" s="360">
        <f>$Y4*AL4</f>
        <v>0</v>
      </c>
      <c r="CQ4" s="360">
        <f>$Z4*AL4</f>
        <v>0</v>
      </c>
      <c r="CR4" s="360">
        <f>$U4*AM4</f>
        <v>0</v>
      </c>
      <c r="CS4" s="360">
        <f>$V4*AM4</f>
        <v>0</v>
      </c>
      <c r="CT4" s="360">
        <f>$W4*AM4</f>
        <v>0</v>
      </c>
      <c r="CU4" s="360">
        <f>$X4*AM4</f>
        <v>0</v>
      </c>
      <c r="CV4" s="360">
        <f>$Y4*AM4</f>
        <v>0</v>
      </c>
      <c r="CW4" s="360">
        <f>$Z4*AM4</f>
        <v>0</v>
      </c>
      <c r="CX4" s="360">
        <f>$U4*AN4</f>
        <v>0</v>
      </c>
      <c r="CY4" s="360">
        <f>$V4*AN4</f>
        <v>0</v>
      </c>
      <c r="CZ4" s="360">
        <f>$W4*AN4</f>
        <v>0</v>
      </c>
      <c r="DA4" s="360">
        <f>$X4*AN4</f>
        <v>0</v>
      </c>
      <c r="DB4" s="360">
        <f>$Y4*AN4</f>
        <v>0</v>
      </c>
      <c r="DC4" s="360">
        <f>$Z4*AN4</f>
        <v>0</v>
      </c>
      <c r="DD4" s="360">
        <f>$U4*AO4</f>
        <v>0</v>
      </c>
      <c r="DE4" s="360">
        <f>$V4*AO4</f>
        <v>0</v>
      </c>
      <c r="DF4" s="360">
        <f>$W4*AO4</f>
        <v>0</v>
      </c>
      <c r="DG4" s="360">
        <f>$X4*AO4</f>
        <v>0</v>
      </c>
      <c r="DH4" s="360">
        <f>$Y4*AO4</f>
        <v>0</v>
      </c>
      <c r="DI4" s="360">
        <f>$Z4*AO4</f>
        <v>0</v>
      </c>
    </row>
    <row r="5" spans="1:113" ht="14" x14ac:dyDescent="0.3">
      <c r="G5" s="353">
        <f>SUM(G2:G4)</f>
        <v>12000000</v>
      </c>
      <c r="H5" s="428"/>
      <c r="I5" s="353">
        <f>SUM(I2:I4)</f>
        <v>341482</v>
      </c>
      <c r="J5" s="353">
        <f>SUM(J2:J4)</f>
        <v>11658518</v>
      </c>
      <c r="K5" s="353">
        <f>SUM(K2:K4)</f>
        <v>440000</v>
      </c>
      <c r="L5" s="5"/>
      <c r="M5" s="353">
        <f>SUM(M2:M4)</f>
        <v>11218518</v>
      </c>
      <c r="AG5" s="352" t="s">
        <v>15</v>
      </c>
      <c r="AH5" s="357">
        <f>SUM(AH2:AH4)</f>
        <v>0</v>
      </c>
      <c r="AI5" s="357">
        <f t="shared" ref="AI5:BJ5" si="0">SUM(AI2:AI4)</f>
        <v>0</v>
      </c>
      <c r="AJ5" s="357">
        <f t="shared" si="0"/>
        <v>0</v>
      </c>
      <c r="AK5" s="357">
        <f t="shared" si="0"/>
        <v>0</v>
      </c>
      <c r="AL5" s="357">
        <f t="shared" si="0"/>
        <v>0</v>
      </c>
      <c r="AM5" s="357">
        <f t="shared" si="0"/>
        <v>0</v>
      </c>
      <c r="AN5" s="357">
        <f t="shared" si="0"/>
        <v>0</v>
      </c>
      <c r="AO5" s="357">
        <f t="shared" si="0"/>
        <v>0</v>
      </c>
      <c r="AP5" s="357">
        <f t="shared" si="0"/>
        <v>0</v>
      </c>
      <c r="AQ5" s="357">
        <f t="shared" si="0"/>
        <v>0</v>
      </c>
      <c r="AR5" s="357">
        <f t="shared" si="0"/>
        <v>0</v>
      </c>
      <c r="AS5" s="357">
        <f t="shared" si="0"/>
        <v>0</v>
      </c>
      <c r="AT5" s="357">
        <f t="shared" si="0"/>
        <v>0</v>
      </c>
      <c r="AU5" s="357">
        <f t="shared" si="0"/>
        <v>0</v>
      </c>
      <c r="AV5" s="357">
        <f t="shared" si="0"/>
        <v>0</v>
      </c>
      <c r="AW5" s="357">
        <f t="shared" si="0"/>
        <v>440000</v>
      </c>
      <c r="AX5" s="357">
        <f t="shared" si="0"/>
        <v>0</v>
      </c>
      <c r="AY5" s="357">
        <f t="shared" si="0"/>
        <v>0</v>
      </c>
      <c r="AZ5" s="357">
        <f t="shared" si="0"/>
        <v>0</v>
      </c>
      <c r="BA5" s="357">
        <f t="shared" si="0"/>
        <v>0</v>
      </c>
      <c r="BB5" s="357">
        <f t="shared" si="0"/>
        <v>0</v>
      </c>
      <c r="BC5" s="357">
        <f t="shared" si="0"/>
        <v>0</v>
      </c>
      <c r="BD5" s="357">
        <f t="shared" si="0"/>
        <v>0</v>
      </c>
      <c r="BE5" s="357">
        <f t="shared" si="0"/>
        <v>0</v>
      </c>
      <c r="BF5" s="357">
        <f t="shared" si="0"/>
        <v>0</v>
      </c>
      <c r="BG5" s="357">
        <f t="shared" si="0"/>
        <v>0</v>
      </c>
      <c r="BH5" s="357">
        <f t="shared" si="0"/>
        <v>0</v>
      </c>
      <c r="BI5" s="357">
        <f t="shared" si="0"/>
        <v>0</v>
      </c>
      <c r="BJ5" s="357">
        <f t="shared" si="0"/>
        <v>0</v>
      </c>
      <c r="BM5" s="352" t="s">
        <v>15</v>
      </c>
      <c r="BN5" s="353">
        <f t="shared" ref="BN5:DI5" si="1">SUM(BN2:BN4)</f>
        <v>0</v>
      </c>
      <c r="BO5" s="353">
        <f t="shared" si="1"/>
        <v>0</v>
      </c>
      <c r="BP5" s="353">
        <f t="shared" si="1"/>
        <v>0</v>
      </c>
      <c r="BQ5" s="353">
        <f t="shared" si="1"/>
        <v>0</v>
      </c>
      <c r="BR5" s="353">
        <f t="shared" si="1"/>
        <v>0</v>
      </c>
      <c r="BS5" s="353">
        <f t="shared" si="1"/>
        <v>0</v>
      </c>
      <c r="BT5" s="353">
        <f t="shared" si="1"/>
        <v>0</v>
      </c>
      <c r="BU5" s="353">
        <f t="shared" si="1"/>
        <v>0</v>
      </c>
      <c r="BV5" s="353">
        <f t="shared" si="1"/>
        <v>0</v>
      </c>
      <c r="BW5" s="353">
        <f t="shared" si="1"/>
        <v>0</v>
      </c>
      <c r="BX5" s="353">
        <f t="shared" si="1"/>
        <v>0</v>
      </c>
      <c r="BY5" s="353">
        <f t="shared" si="1"/>
        <v>0</v>
      </c>
      <c r="BZ5" s="353">
        <f t="shared" si="1"/>
        <v>0</v>
      </c>
      <c r="CA5" s="353">
        <f t="shared" si="1"/>
        <v>0</v>
      </c>
      <c r="CB5" s="353">
        <f t="shared" si="1"/>
        <v>0</v>
      </c>
      <c r="CC5" s="353">
        <f t="shared" si="1"/>
        <v>0</v>
      </c>
      <c r="CD5" s="353">
        <f t="shared" si="1"/>
        <v>0</v>
      </c>
      <c r="CE5" s="353">
        <f t="shared" si="1"/>
        <v>0</v>
      </c>
      <c r="CF5" s="353">
        <f t="shared" si="1"/>
        <v>0</v>
      </c>
      <c r="CG5" s="353">
        <f t="shared" si="1"/>
        <v>0</v>
      </c>
      <c r="CH5" s="353">
        <f t="shared" si="1"/>
        <v>0</v>
      </c>
      <c r="CI5" s="353">
        <f t="shared" si="1"/>
        <v>0</v>
      </c>
      <c r="CJ5" s="353">
        <f t="shared" si="1"/>
        <v>0</v>
      </c>
      <c r="CK5" s="353">
        <f t="shared" si="1"/>
        <v>0</v>
      </c>
      <c r="CL5" s="353">
        <f t="shared" si="1"/>
        <v>0</v>
      </c>
      <c r="CM5" s="353">
        <f t="shared" si="1"/>
        <v>0</v>
      </c>
      <c r="CN5" s="353">
        <f t="shared" si="1"/>
        <v>0</v>
      </c>
      <c r="CO5" s="353">
        <f t="shared" si="1"/>
        <v>0</v>
      </c>
      <c r="CP5" s="353">
        <f t="shared" si="1"/>
        <v>0</v>
      </c>
      <c r="CQ5" s="353">
        <f t="shared" si="1"/>
        <v>0</v>
      </c>
      <c r="CR5" s="353">
        <f t="shared" si="1"/>
        <v>0</v>
      </c>
      <c r="CS5" s="353">
        <f t="shared" si="1"/>
        <v>0</v>
      </c>
      <c r="CT5" s="353">
        <f t="shared" si="1"/>
        <v>0</v>
      </c>
      <c r="CU5" s="353">
        <f t="shared" si="1"/>
        <v>0</v>
      </c>
      <c r="CV5" s="353">
        <f t="shared" si="1"/>
        <v>0</v>
      </c>
      <c r="CW5" s="353">
        <f t="shared" si="1"/>
        <v>0</v>
      </c>
      <c r="CX5" s="353">
        <f t="shared" si="1"/>
        <v>0</v>
      </c>
      <c r="CY5" s="353">
        <f t="shared" si="1"/>
        <v>0</v>
      </c>
      <c r="CZ5" s="353">
        <f t="shared" si="1"/>
        <v>0</v>
      </c>
      <c r="DA5" s="353">
        <f t="shared" si="1"/>
        <v>0</v>
      </c>
      <c r="DB5" s="353">
        <f t="shared" si="1"/>
        <v>0</v>
      </c>
      <c r="DC5" s="353">
        <f t="shared" si="1"/>
        <v>0</v>
      </c>
      <c r="DD5" s="353">
        <f t="shared" si="1"/>
        <v>0</v>
      </c>
      <c r="DE5" s="353">
        <f t="shared" si="1"/>
        <v>0</v>
      </c>
      <c r="DF5" s="353">
        <f t="shared" si="1"/>
        <v>0</v>
      </c>
      <c r="DG5" s="353">
        <f t="shared" si="1"/>
        <v>0</v>
      </c>
      <c r="DH5" s="353">
        <f t="shared" si="1"/>
        <v>0</v>
      </c>
      <c r="DI5" s="353">
        <f t="shared" si="1"/>
        <v>0</v>
      </c>
    </row>
    <row r="6" spans="1:113" ht="14" x14ac:dyDescent="0.3">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row>
    <row r="7" spans="1:113" ht="14" x14ac:dyDescent="0.3">
      <c r="AG7" s="352" t="s">
        <v>433</v>
      </c>
      <c r="AH7" s="355">
        <f t="shared" ref="AH7:BJ7" si="2">AH5*0.2</f>
        <v>0</v>
      </c>
      <c r="AI7" s="355">
        <f t="shared" si="2"/>
        <v>0</v>
      </c>
      <c r="AJ7" s="355">
        <f t="shared" si="2"/>
        <v>0</v>
      </c>
      <c r="AK7" s="355">
        <f t="shared" si="2"/>
        <v>0</v>
      </c>
      <c r="AL7" s="355">
        <f t="shared" si="2"/>
        <v>0</v>
      </c>
      <c r="AM7" s="355">
        <f t="shared" si="2"/>
        <v>0</v>
      </c>
      <c r="AN7" s="355">
        <f t="shared" si="2"/>
        <v>0</v>
      </c>
      <c r="AO7" s="355">
        <f t="shared" si="2"/>
        <v>0</v>
      </c>
      <c r="AP7" s="355">
        <f t="shared" si="2"/>
        <v>0</v>
      </c>
      <c r="AQ7" s="355">
        <f t="shared" si="2"/>
        <v>0</v>
      </c>
      <c r="AR7" s="355">
        <f t="shared" si="2"/>
        <v>0</v>
      </c>
      <c r="AS7" s="355">
        <f t="shared" si="2"/>
        <v>0</v>
      </c>
      <c r="AT7" s="355">
        <f t="shared" si="2"/>
        <v>0</v>
      </c>
      <c r="AU7" s="355">
        <f t="shared" si="2"/>
        <v>0</v>
      </c>
      <c r="AV7" s="355">
        <f t="shared" si="2"/>
        <v>0</v>
      </c>
      <c r="AW7" s="355">
        <f t="shared" si="2"/>
        <v>88000</v>
      </c>
      <c r="AX7" s="355">
        <f t="shared" si="2"/>
        <v>0</v>
      </c>
      <c r="AY7" s="355">
        <f t="shared" si="2"/>
        <v>0</v>
      </c>
      <c r="AZ7" s="355">
        <f t="shared" si="2"/>
        <v>0</v>
      </c>
      <c r="BA7" s="355">
        <f t="shared" si="2"/>
        <v>0</v>
      </c>
      <c r="BB7" s="355">
        <f t="shared" si="2"/>
        <v>0</v>
      </c>
      <c r="BC7" s="355">
        <f t="shared" si="2"/>
        <v>0</v>
      </c>
      <c r="BD7" s="355">
        <f t="shared" si="2"/>
        <v>0</v>
      </c>
      <c r="BE7" s="355">
        <f t="shared" si="2"/>
        <v>0</v>
      </c>
      <c r="BF7" s="355">
        <f t="shared" si="2"/>
        <v>0</v>
      </c>
      <c r="BG7" s="355">
        <f t="shared" si="2"/>
        <v>0</v>
      </c>
      <c r="BH7" s="355">
        <f t="shared" si="2"/>
        <v>0</v>
      </c>
      <c r="BI7" s="355">
        <f t="shared" si="2"/>
        <v>0</v>
      </c>
      <c r="BJ7" s="355">
        <f t="shared" si="2"/>
        <v>0</v>
      </c>
      <c r="BM7" s="352" t="s">
        <v>433</v>
      </c>
      <c r="BN7" s="355">
        <f t="shared" ref="BN7:DI7" si="3">BN5*0.2</f>
        <v>0</v>
      </c>
      <c r="BO7" s="355">
        <f t="shared" si="3"/>
        <v>0</v>
      </c>
      <c r="BP7" s="355">
        <f t="shared" si="3"/>
        <v>0</v>
      </c>
      <c r="BQ7" s="355">
        <f t="shared" si="3"/>
        <v>0</v>
      </c>
      <c r="BR7" s="355">
        <f t="shared" si="3"/>
        <v>0</v>
      </c>
      <c r="BS7" s="355">
        <f t="shared" si="3"/>
        <v>0</v>
      </c>
      <c r="BT7" s="355">
        <f t="shared" si="3"/>
        <v>0</v>
      </c>
      <c r="BU7" s="355">
        <f t="shared" si="3"/>
        <v>0</v>
      </c>
      <c r="BV7" s="355">
        <f t="shared" si="3"/>
        <v>0</v>
      </c>
      <c r="BW7" s="355">
        <f t="shared" si="3"/>
        <v>0</v>
      </c>
      <c r="BX7" s="355">
        <f t="shared" si="3"/>
        <v>0</v>
      </c>
      <c r="BY7" s="355">
        <f t="shared" si="3"/>
        <v>0</v>
      </c>
      <c r="BZ7" s="355">
        <f t="shared" si="3"/>
        <v>0</v>
      </c>
      <c r="CA7" s="355">
        <f t="shared" si="3"/>
        <v>0</v>
      </c>
      <c r="CB7" s="355">
        <f t="shared" si="3"/>
        <v>0</v>
      </c>
      <c r="CC7" s="355">
        <f t="shared" si="3"/>
        <v>0</v>
      </c>
      <c r="CD7" s="355">
        <f t="shared" si="3"/>
        <v>0</v>
      </c>
      <c r="CE7" s="355">
        <f t="shared" si="3"/>
        <v>0</v>
      </c>
      <c r="CF7" s="355">
        <f t="shared" si="3"/>
        <v>0</v>
      </c>
      <c r="CG7" s="355">
        <f t="shared" si="3"/>
        <v>0</v>
      </c>
      <c r="CH7" s="355">
        <f t="shared" si="3"/>
        <v>0</v>
      </c>
      <c r="CI7" s="355">
        <f t="shared" si="3"/>
        <v>0</v>
      </c>
      <c r="CJ7" s="355">
        <f t="shared" si="3"/>
        <v>0</v>
      </c>
      <c r="CK7" s="355">
        <f t="shared" si="3"/>
        <v>0</v>
      </c>
      <c r="CL7" s="355">
        <f t="shared" si="3"/>
        <v>0</v>
      </c>
      <c r="CM7" s="355">
        <f t="shared" si="3"/>
        <v>0</v>
      </c>
      <c r="CN7" s="355">
        <f t="shared" si="3"/>
        <v>0</v>
      </c>
      <c r="CO7" s="355">
        <f t="shared" si="3"/>
        <v>0</v>
      </c>
      <c r="CP7" s="355">
        <f t="shared" si="3"/>
        <v>0</v>
      </c>
      <c r="CQ7" s="355">
        <f t="shared" si="3"/>
        <v>0</v>
      </c>
      <c r="CR7" s="355">
        <f t="shared" si="3"/>
        <v>0</v>
      </c>
      <c r="CS7" s="355">
        <f t="shared" si="3"/>
        <v>0</v>
      </c>
      <c r="CT7" s="355">
        <f t="shared" si="3"/>
        <v>0</v>
      </c>
      <c r="CU7" s="355">
        <f t="shared" si="3"/>
        <v>0</v>
      </c>
      <c r="CV7" s="355">
        <f t="shared" si="3"/>
        <v>0</v>
      </c>
      <c r="CW7" s="355">
        <f t="shared" si="3"/>
        <v>0</v>
      </c>
      <c r="CX7" s="355">
        <f t="shared" si="3"/>
        <v>0</v>
      </c>
      <c r="CY7" s="355">
        <f t="shared" si="3"/>
        <v>0</v>
      </c>
      <c r="CZ7" s="355">
        <f t="shared" si="3"/>
        <v>0</v>
      </c>
      <c r="DA7" s="355">
        <f t="shared" si="3"/>
        <v>0</v>
      </c>
      <c r="DB7" s="355">
        <f t="shared" si="3"/>
        <v>0</v>
      </c>
      <c r="DC7" s="355">
        <f t="shared" si="3"/>
        <v>0</v>
      </c>
      <c r="DD7" s="355">
        <f t="shared" si="3"/>
        <v>0</v>
      </c>
      <c r="DE7" s="355">
        <f t="shared" si="3"/>
        <v>0</v>
      </c>
      <c r="DF7" s="355">
        <f t="shared" si="3"/>
        <v>0</v>
      </c>
      <c r="DG7" s="355">
        <f t="shared" si="3"/>
        <v>0</v>
      </c>
      <c r="DH7" s="355">
        <f t="shared" si="3"/>
        <v>0</v>
      </c>
      <c r="DI7" s="355">
        <f t="shared" si="3"/>
        <v>0</v>
      </c>
    </row>
    <row r="8" spans="1:113" ht="14" x14ac:dyDescent="0.3">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row>
    <row r="9" spans="1:113" thickBot="1" x14ac:dyDescent="0.35">
      <c r="AG9" s="352" t="s">
        <v>434</v>
      </c>
      <c r="AH9" s="110">
        <f>SUM(AH5:AH7)</f>
        <v>0</v>
      </c>
      <c r="AI9" s="110">
        <f t="shared" ref="AI9:BJ9" si="4">SUM(AI5:AI7)</f>
        <v>0</v>
      </c>
      <c r="AJ9" s="110">
        <f t="shared" si="4"/>
        <v>0</v>
      </c>
      <c r="AK9" s="110">
        <f t="shared" si="4"/>
        <v>0</v>
      </c>
      <c r="AL9" s="110">
        <f t="shared" si="4"/>
        <v>0</v>
      </c>
      <c r="AM9" s="110">
        <f t="shared" si="4"/>
        <v>0</v>
      </c>
      <c r="AN9" s="110">
        <f t="shared" si="4"/>
        <v>0</v>
      </c>
      <c r="AO9" s="110">
        <f t="shared" si="4"/>
        <v>0</v>
      </c>
      <c r="AP9" s="110">
        <f t="shared" si="4"/>
        <v>0</v>
      </c>
      <c r="AQ9" s="110">
        <f t="shared" si="4"/>
        <v>0</v>
      </c>
      <c r="AR9" s="110">
        <f t="shared" si="4"/>
        <v>0</v>
      </c>
      <c r="AS9" s="110">
        <f t="shared" si="4"/>
        <v>0</v>
      </c>
      <c r="AT9" s="110">
        <f t="shared" si="4"/>
        <v>0</v>
      </c>
      <c r="AU9" s="110">
        <f t="shared" si="4"/>
        <v>0</v>
      </c>
      <c r="AV9" s="110">
        <f t="shared" si="4"/>
        <v>0</v>
      </c>
      <c r="AW9" s="110">
        <f t="shared" si="4"/>
        <v>528000</v>
      </c>
      <c r="AX9" s="110">
        <f t="shared" si="4"/>
        <v>0</v>
      </c>
      <c r="AY9" s="110">
        <f t="shared" si="4"/>
        <v>0</v>
      </c>
      <c r="AZ9" s="110">
        <f t="shared" si="4"/>
        <v>0</v>
      </c>
      <c r="BA9" s="110">
        <f t="shared" si="4"/>
        <v>0</v>
      </c>
      <c r="BB9" s="110">
        <f t="shared" si="4"/>
        <v>0</v>
      </c>
      <c r="BC9" s="110">
        <f t="shared" si="4"/>
        <v>0</v>
      </c>
      <c r="BD9" s="110">
        <f t="shared" si="4"/>
        <v>0</v>
      </c>
      <c r="BE9" s="110">
        <f t="shared" si="4"/>
        <v>0</v>
      </c>
      <c r="BF9" s="110">
        <f t="shared" si="4"/>
        <v>0</v>
      </c>
      <c r="BG9" s="110">
        <f t="shared" si="4"/>
        <v>0</v>
      </c>
      <c r="BH9" s="110">
        <f t="shared" si="4"/>
        <v>0</v>
      </c>
      <c r="BI9" s="110">
        <f t="shared" si="4"/>
        <v>0</v>
      </c>
      <c r="BJ9" s="110">
        <f t="shared" si="4"/>
        <v>0</v>
      </c>
      <c r="BM9" s="352" t="s">
        <v>434</v>
      </c>
      <c r="BN9" s="110">
        <f>SUM(BN5:BN7)</f>
        <v>0</v>
      </c>
      <c r="BO9" s="110">
        <f t="shared" ref="BO9:DI9" si="5">SUM(BO5:BO7)</f>
        <v>0</v>
      </c>
      <c r="BP9" s="110">
        <f t="shared" si="5"/>
        <v>0</v>
      </c>
      <c r="BQ9" s="110">
        <f t="shared" si="5"/>
        <v>0</v>
      </c>
      <c r="BR9" s="110">
        <f t="shared" si="5"/>
        <v>0</v>
      </c>
      <c r="BS9" s="110">
        <f t="shared" si="5"/>
        <v>0</v>
      </c>
      <c r="BT9" s="110">
        <f t="shared" si="5"/>
        <v>0</v>
      </c>
      <c r="BU9" s="110">
        <f t="shared" si="5"/>
        <v>0</v>
      </c>
      <c r="BV9" s="110">
        <f t="shared" si="5"/>
        <v>0</v>
      </c>
      <c r="BW9" s="110">
        <f t="shared" si="5"/>
        <v>0</v>
      </c>
      <c r="BX9" s="110">
        <f t="shared" si="5"/>
        <v>0</v>
      </c>
      <c r="BY9" s="110">
        <f t="shared" si="5"/>
        <v>0</v>
      </c>
      <c r="BZ9" s="110">
        <f t="shared" si="5"/>
        <v>0</v>
      </c>
      <c r="CA9" s="110">
        <f t="shared" si="5"/>
        <v>0</v>
      </c>
      <c r="CB9" s="110">
        <f t="shared" si="5"/>
        <v>0</v>
      </c>
      <c r="CC9" s="110">
        <f t="shared" si="5"/>
        <v>0</v>
      </c>
      <c r="CD9" s="110">
        <f t="shared" si="5"/>
        <v>0</v>
      </c>
      <c r="CE9" s="110">
        <f t="shared" si="5"/>
        <v>0</v>
      </c>
      <c r="CF9" s="110">
        <f t="shared" si="5"/>
        <v>0</v>
      </c>
      <c r="CG9" s="110">
        <f t="shared" si="5"/>
        <v>0</v>
      </c>
      <c r="CH9" s="110">
        <f t="shared" si="5"/>
        <v>0</v>
      </c>
      <c r="CI9" s="110">
        <f t="shared" si="5"/>
        <v>0</v>
      </c>
      <c r="CJ9" s="110">
        <f t="shared" si="5"/>
        <v>0</v>
      </c>
      <c r="CK9" s="110">
        <f t="shared" si="5"/>
        <v>0</v>
      </c>
      <c r="CL9" s="110">
        <f t="shared" si="5"/>
        <v>0</v>
      </c>
      <c r="CM9" s="110">
        <f t="shared" si="5"/>
        <v>0</v>
      </c>
      <c r="CN9" s="110">
        <f t="shared" si="5"/>
        <v>0</v>
      </c>
      <c r="CO9" s="110">
        <f t="shared" si="5"/>
        <v>0</v>
      </c>
      <c r="CP9" s="110">
        <f t="shared" si="5"/>
        <v>0</v>
      </c>
      <c r="CQ9" s="110">
        <f t="shared" si="5"/>
        <v>0</v>
      </c>
      <c r="CR9" s="110">
        <f t="shared" si="5"/>
        <v>0</v>
      </c>
      <c r="CS9" s="110">
        <f t="shared" si="5"/>
        <v>0</v>
      </c>
      <c r="CT9" s="110">
        <f t="shared" si="5"/>
        <v>0</v>
      </c>
      <c r="CU9" s="110">
        <f t="shared" si="5"/>
        <v>0</v>
      </c>
      <c r="CV9" s="110">
        <f t="shared" si="5"/>
        <v>0</v>
      </c>
      <c r="CW9" s="110">
        <f t="shared" si="5"/>
        <v>0</v>
      </c>
      <c r="CX9" s="110">
        <f t="shared" si="5"/>
        <v>0</v>
      </c>
      <c r="CY9" s="110">
        <f t="shared" si="5"/>
        <v>0</v>
      </c>
      <c r="CZ9" s="110">
        <f t="shared" si="5"/>
        <v>0</v>
      </c>
      <c r="DA9" s="110">
        <f t="shared" si="5"/>
        <v>0</v>
      </c>
      <c r="DB9" s="110">
        <f t="shared" si="5"/>
        <v>0</v>
      </c>
      <c r="DC9" s="110">
        <f t="shared" si="5"/>
        <v>0</v>
      </c>
      <c r="DD9" s="110">
        <f t="shared" si="5"/>
        <v>0</v>
      </c>
      <c r="DE9" s="110">
        <f t="shared" si="5"/>
        <v>0</v>
      </c>
      <c r="DF9" s="110">
        <f t="shared" si="5"/>
        <v>0</v>
      </c>
      <c r="DG9" s="110">
        <f t="shared" si="5"/>
        <v>0</v>
      </c>
      <c r="DH9" s="110">
        <f t="shared" si="5"/>
        <v>0</v>
      </c>
      <c r="DI9" s="110">
        <f t="shared" si="5"/>
        <v>0</v>
      </c>
    </row>
    <row r="10" spans="1:113" ht="15" thickTop="1" x14ac:dyDescent="0.35">
      <c r="BN10" s="348"/>
      <c r="BO10" s="348"/>
      <c r="BP10" s="348"/>
      <c r="BQ10" s="348"/>
      <c r="BR10" s="348"/>
      <c r="BS10" s="351">
        <f>SUM(BN9:BS9)</f>
        <v>0</v>
      </c>
      <c r="BT10" s="348"/>
      <c r="BU10" s="348"/>
      <c r="BV10" s="348"/>
      <c r="BW10" s="348"/>
      <c r="BX10" s="348"/>
      <c r="BY10" s="351">
        <f>SUM(BT9:BY9)</f>
        <v>0</v>
      </c>
      <c r="BZ10" s="348"/>
      <c r="CA10" s="348"/>
      <c r="CB10" s="348"/>
      <c r="CC10" s="348"/>
      <c r="CD10" s="348"/>
      <c r="CE10" s="351">
        <f>SUM(BZ9:CE9)</f>
        <v>0</v>
      </c>
      <c r="CF10" s="348"/>
      <c r="CG10" s="348"/>
      <c r="CH10" s="348"/>
      <c r="CI10" s="348"/>
      <c r="CJ10" s="348"/>
      <c r="CK10" s="351">
        <f>SUM(CF9:CK9)</f>
        <v>0</v>
      </c>
      <c r="CL10" s="348"/>
      <c r="CM10" s="348"/>
      <c r="CN10" s="348"/>
      <c r="CO10" s="348"/>
      <c r="CP10" s="348"/>
      <c r="CQ10" s="351">
        <f>SUM(CL9:CQ9)</f>
        <v>0</v>
      </c>
      <c r="CR10" s="348"/>
      <c r="CS10" s="348"/>
      <c r="CT10" s="348"/>
      <c r="CU10" s="348"/>
      <c r="CV10" s="348"/>
      <c r="CW10" s="351">
        <f>SUM(CR9:CW9)</f>
        <v>0</v>
      </c>
      <c r="CX10" s="348"/>
      <c r="CY10" s="348"/>
      <c r="CZ10" s="348"/>
      <c r="DA10" s="348"/>
      <c r="DB10" s="348"/>
      <c r="DC10" s="351">
        <f>SUM(CX9:DC9)</f>
        <v>0</v>
      </c>
      <c r="DD10" s="348"/>
      <c r="DE10" s="348"/>
      <c r="DF10" s="348"/>
      <c r="DG10" s="348"/>
      <c r="DH10" s="348"/>
      <c r="DI10" s="351">
        <f>SUM(DD9:DI9)</f>
        <v>0</v>
      </c>
    </row>
    <row r="11" spans="1:113" ht="14" x14ac:dyDescent="0.3">
      <c r="BM11" s="356"/>
      <c r="BN11" s="348"/>
      <c r="BO11" s="348"/>
      <c r="BP11" s="348"/>
      <c r="BQ11" s="348"/>
      <c r="BR11" s="348"/>
      <c r="BS11" s="350" t="b">
        <f>BS10=AH9</f>
        <v>1</v>
      </c>
      <c r="BT11" s="348"/>
      <c r="BU11" s="348"/>
      <c r="BV11" s="348"/>
      <c r="BW11" s="348"/>
      <c r="BX11" s="348"/>
      <c r="BY11" s="350" t="b">
        <f>BY10=A9</f>
        <v>1</v>
      </c>
      <c r="BZ11" s="348"/>
      <c r="CA11" s="348"/>
      <c r="CB11" s="348"/>
      <c r="CC11" s="348"/>
      <c r="CD11" s="348"/>
      <c r="CE11" s="350" t="b">
        <f>CE10=A9</f>
        <v>1</v>
      </c>
      <c r="CF11" s="348"/>
      <c r="CG11" s="348"/>
      <c r="CH11" s="348"/>
      <c r="CI11" s="348"/>
      <c r="CJ11" s="348"/>
      <c r="CK11" s="350" t="b">
        <f>CK10=AK9</f>
        <v>1</v>
      </c>
      <c r="CL11" s="348"/>
      <c r="CM11" s="348"/>
      <c r="CN11" s="348"/>
      <c r="CO11" s="348"/>
      <c r="CP11" s="348"/>
      <c r="CQ11" s="350" t="b">
        <f>CQ10=AL9</f>
        <v>1</v>
      </c>
      <c r="CR11" s="348"/>
      <c r="CS11" s="348"/>
      <c r="CT11" s="348"/>
      <c r="CU11" s="348"/>
      <c r="CV11" s="348"/>
      <c r="CW11" s="350" t="b">
        <f>CW10=AM9</f>
        <v>1</v>
      </c>
      <c r="CX11" s="348"/>
      <c r="CY11" s="348"/>
      <c r="CZ11" s="348"/>
      <c r="DA11" s="348"/>
      <c r="DB11" s="348"/>
      <c r="DC11" s="350" t="b">
        <f>DC10=AN9</f>
        <v>1</v>
      </c>
      <c r="DD11" s="348"/>
      <c r="DE11" s="348"/>
      <c r="DF11" s="348"/>
      <c r="DG11" s="348"/>
      <c r="DH11" s="348"/>
      <c r="DI11" s="350" t="b">
        <f>DI10=AO9</f>
        <v>1</v>
      </c>
    </row>
    <row r="12" spans="1:113" ht="14" x14ac:dyDescent="0.3">
      <c r="AH12" s="278" t="e">
        <f>AH7/AH5</f>
        <v>#DIV/0!</v>
      </c>
      <c r="AI12" s="278" t="e">
        <f t="shared" ref="AI12:AN12" si="6">AI7/AI5</f>
        <v>#DIV/0!</v>
      </c>
      <c r="AJ12" s="278" t="e">
        <f t="shared" si="6"/>
        <v>#DIV/0!</v>
      </c>
      <c r="AK12" s="278" t="e">
        <f t="shared" si="6"/>
        <v>#DIV/0!</v>
      </c>
      <c r="AL12" s="278" t="e">
        <f t="shared" si="6"/>
        <v>#DIV/0!</v>
      </c>
      <c r="AM12" s="278" t="e">
        <f t="shared" si="6"/>
        <v>#DIV/0!</v>
      </c>
      <c r="AN12" s="278" t="e">
        <f t="shared" si="6"/>
        <v>#DIV/0!</v>
      </c>
      <c r="BM12" s="356"/>
      <c r="BN12" s="348"/>
      <c r="BO12" s="348"/>
      <c r="BP12" s="348"/>
      <c r="BQ12" s="348"/>
      <c r="BR12" s="348"/>
      <c r="BS12" s="348"/>
      <c r="BT12" s="348"/>
      <c r="BU12" s="348"/>
      <c r="BV12" s="348"/>
      <c r="BW12" s="348"/>
      <c r="BX12" s="348"/>
      <c r="BY12" s="348"/>
      <c r="BZ12" s="348"/>
      <c r="CA12" s="348"/>
      <c r="CB12" s="348"/>
      <c r="CC12" s="348"/>
      <c r="CD12" s="348"/>
      <c r="CE12" s="348"/>
      <c r="CF12" s="348"/>
      <c r="CG12" s="348"/>
      <c r="CH12" s="348"/>
      <c r="CI12" s="348"/>
      <c r="CJ12" s="348"/>
      <c r="CK12" s="348"/>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48"/>
    </row>
    <row r="13" spans="1:113" ht="14" x14ac:dyDescent="0.3">
      <c r="BM13" s="356"/>
      <c r="BN13" s="348"/>
      <c r="BO13" s="348"/>
      <c r="BP13" s="348"/>
      <c r="BQ13" s="348"/>
      <c r="BR13" s="348"/>
      <c r="BS13" s="348"/>
      <c r="BT13" s="348"/>
      <c r="BU13" s="348"/>
      <c r="BV13" s="348"/>
      <c r="BW13" s="348"/>
      <c r="BX13" s="348"/>
      <c r="BY13" s="348"/>
      <c r="BZ13" s="348"/>
      <c r="CA13" s="348"/>
      <c r="CB13" s="348"/>
      <c r="CC13" s="348"/>
      <c r="CD13" s="348"/>
      <c r="CE13" s="348"/>
      <c r="CF13" s="348"/>
      <c r="CG13" s="348"/>
      <c r="CH13" s="348"/>
      <c r="CI13" s="348"/>
      <c r="CJ13" s="348"/>
      <c r="CK13" s="348"/>
      <c r="CL13" s="348"/>
      <c r="CM13" s="348"/>
      <c r="CN13" s="348"/>
      <c r="CO13" s="348"/>
      <c r="CP13" s="348"/>
      <c r="CQ13" s="348"/>
      <c r="CR13" s="348"/>
      <c r="CS13" s="348"/>
      <c r="CT13" s="348"/>
      <c r="CU13" s="348"/>
      <c r="CV13" s="348"/>
      <c r="CW13" s="348"/>
      <c r="CX13" s="348"/>
      <c r="CY13" s="348"/>
      <c r="CZ13" s="348"/>
      <c r="DA13" s="348"/>
      <c r="DB13" s="348"/>
      <c r="DC13" s="348"/>
      <c r="DD13" s="348"/>
      <c r="DE13" s="348"/>
      <c r="DF13" s="348"/>
      <c r="DG13" s="348"/>
      <c r="DH13" s="348"/>
      <c r="DI13" s="348"/>
    </row>
    <row r="14" spans="1:113" ht="14" x14ac:dyDescent="0.3">
      <c r="BM14" s="356"/>
      <c r="BN14" s="348"/>
      <c r="BO14" s="348"/>
      <c r="BP14" s="348"/>
      <c r="BQ14" s="348"/>
      <c r="BR14" s="348"/>
      <c r="BS14" s="348"/>
      <c r="BT14" s="348"/>
      <c r="BU14" s="348"/>
      <c r="BV14" s="348"/>
      <c r="BW14" s="348"/>
      <c r="BX14" s="348"/>
      <c r="BY14" s="348"/>
      <c r="BZ14" s="348"/>
      <c r="CA14" s="348"/>
      <c r="CB14" s="348"/>
      <c r="CC14" s="348"/>
      <c r="CD14" s="348"/>
      <c r="CE14" s="348"/>
      <c r="CF14" s="348"/>
      <c r="CG14" s="348"/>
      <c r="CH14" s="348"/>
      <c r="CI14" s="348"/>
      <c r="CJ14" s="348"/>
      <c r="CK14" s="348"/>
      <c r="CL14" s="348"/>
      <c r="CM14" s="348"/>
      <c r="CN14" s="348"/>
      <c r="CO14" s="348"/>
      <c r="CP14" s="348"/>
      <c r="CQ14" s="348"/>
      <c r="CR14" s="348"/>
      <c r="CS14" s="348"/>
      <c r="CT14" s="348"/>
      <c r="CU14" s="348"/>
      <c r="CV14" s="348"/>
      <c r="CW14" s="348"/>
      <c r="CX14" s="348"/>
      <c r="CY14" s="348"/>
      <c r="CZ14" s="348"/>
      <c r="DA14" s="348"/>
      <c r="DB14" s="348"/>
      <c r="DC14" s="348"/>
      <c r="DD14" s="348"/>
      <c r="DE14" s="348"/>
      <c r="DF14" s="348"/>
      <c r="DG14" s="348"/>
      <c r="DH14" s="348"/>
      <c r="DI14" s="348"/>
    </row>
    <row r="15" spans="1:113" ht="14" x14ac:dyDescent="0.3">
      <c r="BM15" s="356"/>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row>
    <row r="16" spans="1:113" ht="14" x14ac:dyDescent="0.3">
      <c r="BM16" s="356"/>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row>
    <row r="17" spans="65:113" x14ac:dyDescent="0.35">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row>
    <row r="18" spans="65:113" x14ac:dyDescent="0.35">
      <c r="BN18" s="348"/>
      <c r="BO18" s="348"/>
      <c r="BP18" s="348"/>
      <c r="BQ18" s="348"/>
      <c r="BR18" s="348"/>
      <c r="BS18" s="348"/>
      <c r="BT18" s="348"/>
      <c r="BU18" s="348"/>
      <c r="BV18" s="348"/>
      <c r="BW18" s="348"/>
      <c r="BX18" s="348"/>
      <c r="BY18" s="348"/>
      <c r="BZ18" s="348"/>
      <c r="CA18" s="348"/>
      <c r="CB18" s="348"/>
      <c r="CC18" s="348"/>
      <c r="CD18" s="348"/>
      <c r="CE18" s="348"/>
      <c r="CF18" s="348"/>
      <c r="CG18" s="348"/>
      <c r="CH18" s="348"/>
      <c r="CI18" s="348"/>
      <c r="CJ18" s="348"/>
      <c r="CK18" s="348"/>
      <c r="CL18" s="348"/>
      <c r="CM18" s="348"/>
      <c r="CN18" s="348"/>
      <c r="CO18" s="348"/>
      <c r="CP18" s="348"/>
      <c r="CQ18" s="348"/>
      <c r="CR18" s="348"/>
      <c r="CS18" s="348"/>
      <c r="CT18" s="348"/>
      <c r="CU18" s="348"/>
      <c r="CV18" s="348"/>
      <c r="CW18" s="348"/>
      <c r="CX18" s="348"/>
      <c r="CY18" s="348"/>
      <c r="CZ18" s="348"/>
      <c r="DA18" s="348"/>
      <c r="DB18" s="348"/>
      <c r="DC18" s="348"/>
      <c r="DD18" s="348"/>
      <c r="DE18" s="348"/>
      <c r="DF18" s="348"/>
      <c r="DG18" s="348"/>
      <c r="DH18" s="348"/>
      <c r="DI18" s="348"/>
    </row>
    <row r="19" spans="65:113" x14ac:dyDescent="0.35">
      <c r="BN19" s="348"/>
      <c r="BO19" s="348"/>
      <c r="BP19" s="348"/>
      <c r="BQ19" s="348"/>
      <c r="BR19" s="348"/>
      <c r="BS19" s="348"/>
      <c r="BT19" s="348"/>
      <c r="BU19" s="348"/>
      <c r="BV19" s="348"/>
      <c r="BW19" s="348"/>
      <c r="BX19" s="348"/>
      <c r="BY19" s="348"/>
      <c r="BZ19" s="348"/>
      <c r="CA19" s="348"/>
      <c r="CB19" s="348"/>
      <c r="CC19" s="348"/>
      <c r="CD19" s="348"/>
      <c r="CE19" s="348"/>
      <c r="CF19" s="348"/>
      <c r="CG19" s="348"/>
      <c r="CH19" s="348"/>
      <c r="CI19" s="348"/>
      <c r="CJ19" s="348"/>
      <c r="CK19" s="348"/>
      <c r="CL19" s="348"/>
      <c r="CM19" s="348"/>
      <c r="CN19" s="348"/>
      <c r="CO19" s="348"/>
      <c r="CP19" s="348"/>
      <c r="CQ19" s="348"/>
      <c r="CR19" s="348"/>
      <c r="CS19" s="348"/>
      <c r="CT19" s="348"/>
      <c r="CU19" s="348"/>
      <c r="CV19" s="348"/>
      <c r="CW19" s="348"/>
      <c r="CX19" s="348"/>
      <c r="CY19" s="348"/>
      <c r="CZ19" s="348"/>
      <c r="DA19" s="348"/>
      <c r="DB19" s="348"/>
      <c r="DC19" s="348"/>
      <c r="DD19" s="348"/>
      <c r="DE19" s="348"/>
      <c r="DF19" s="348"/>
      <c r="DG19" s="348"/>
      <c r="DH19" s="348"/>
      <c r="DI19" s="348"/>
    </row>
    <row r="20" spans="65:113" x14ac:dyDescent="0.35">
      <c r="BN20" s="348"/>
      <c r="BO20" s="348"/>
      <c r="BP20" s="348"/>
      <c r="BQ20" s="348"/>
      <c r="BR20" s="348"/>
      <c r="BS20" s="348"/>
      <c r="BT20" s="348"/>
      <c r="BU20" s="348"/>
      <c r="BV20" s="348"/>
      <c r="BW20" s="348"/>
      <c r="BX20" s="348"/>
      <c r="BY20" s="348"/>
      <c r="BZ20" s="348"/>
      <c r="CA20" s="348"/>
      <c r="CB20" s="348"/>
      <c r="CC20" s="348"/>
      <c r="CD20" s="348"/>
      <c r="CE20" s="348"/>
      <c r="CF20" s="348"/>
      <c r="CG20" s="348"/>
      <c r="CH20" s="348"/>
      <c r="CI20" s="348"/>
      <c r="CJ20" s="348"/>
      <c r="CK20" s="348"/>
      <c r="CL20" s="348"/>
      <c r="CM20" s="348"/>
      <c r="CN20" s="348"/>
      <c r="CO20" s="348"/>
      <c r="CP20" s="348"/>
      <c r="CQ20" s="348"/>
      <c r="CR20" s="348"/>
      <c r="CS20" s="348"/>
      <c r="CT20" s="348"/>
      <c r="CU20" s="348"/>
      <c r="CV20" s="348"/>
      <c r="CW20" s="348"/>
      <c r="CX20" s="348"/>
      <c r="CY20" s="348"/>
      <c r="CZ20" s="348"/>
      <c r="DA20" s="348"/>
      <c r="DB20" s="348"/>
      <c r="DC20" s="348"/>
      <c r="DD20" s="348"/>
      <c r="DE20" s="348"/>
      <c r="DF20" s="348"/>
      <c r="DG20" s="348"/>
      <c r="DH20" s="348"/>
      <c r="DI20" s="348"/>
    </row>
    <row r="21" spans="65:113" x14ac:dyDescent="0.35">
      <c r="BN21" s="348"/>
      <c r="BO21" s="348"/>
      <c r="BP21" s="348"/>
      <c r="BQ21" s="348"/>
      <c r="BR21" s="348"/>
      <c r="BS21" s="348"/>
      <c r="BT21" s="348"/>
      <c r="BU21" s="348"/>
      <c r="BV21" s="348"/>
      <c r="BW21" s="348"/>
      <c r="BX21" s="348"/>
      <c r="BY21" s="348"/>
      <c r="BZ21" s="348"/>
      <c r="CA21" s="348"/>
      <c r="CB21" s="348"/>
      <c r="CC21" s="348"/>
      <c r="CD21" s="348"/>
      <c r="CE21" s="348"/>
      <c r="CF21" s="348"/>
      <c r="CG21" s="348"/>
      <c r="CH21" s="348"/>
      <c r="CI21" s="348"/>
      <c r="CJ21" s="348"/>
      <c r="CK21" s="348"/>
      <c r="CL21" s="348"/>
      <c r="CM21" s="348"/>
      <c r="CN21" s="348"/>
      <c r="CO21" s="348"/>
      <c r="CP21" s="348"/>
      <c r="CQ21" s="348"/>
      <c r="CR21" s="348"/>
      <c r="CS21" s="348"/>
      <c r="CT21" s="348"/>
      <c r="CU21" s="348"/>
      <c r="CV21" s="348"/>
      <c r="CW21" s="348"/>
      <c r="CX21" s="348"/>
      <c r="CY21" s="348"/>
      <c r="CZ21" s="348"/>
      <c r="DA21" s="348"/>
      <c r="DB21" s="348"/>
      <c r="DC21" s="348"/>
      <c r="DD21" s="348"/>
      <c r="DE21" s="348"/>
      <c r="DF21" s="348"/>
      <c r="DG21" s="348"/>
      <c r="DH21" s="348"/>
      <c r="DI21" s="348"/>
    </row>
    <row r="22" spans="65:113" x14ac:dyDescent="0.35">
      <c r="BN22" s="348"/>
      <c r="BO22" s="348"/>
      <c r="BP22" s="348"/>
      <c r="BQ22" s="348"/>
      <c r="BR22" s="348"/>
      <c r="BS22" s="348"/>
      <c r="BT22" s="348"/>
      <c r="BU22" s="348"/>
      <c r="BV22" s="348"/>
      <c r="BW22" s="348"/>
      <c r="BX22" s="348"/>
      <c r="BY22" s="348"/>
      <c r="BZ22" s="348"/>
      <c r="CA22" s="348"/>
      <c r="CB22" s="348"/>
      <c r="CC22" s="348"/>
      <c r="CD22" s="348"/>
      <c r="CE22" s="348"/>
      <c r="CF22" s="348"/>
      <c r="CG22" s="348"/>
      <c r="CH22" s="348"/>
      <c r="CI22" s="348"/>
      <c r="CJ22" s="348"/>
      <c r="CK22" s="348"/>
      <c r="CL22" s="348"/>
      <c r="CM22" s="348"/>
      <c r="CN22" s="348"/>
      <c r="CO22" s="348"/>
      <c r="CP22" s="348"/>
      <c r="CQ22" s="348"/>
      <c r="CR22" s="348"/>
      <c r="CS22" s="348"/>
      <c r="CT22" s="348"/>
      <c r="CU22" s="348"/>
      <c r="CV22" s="348"/>
      <c r="CW22" s="348"/>
      <c r="CX22" s="348"/>
      <c r="CY22" s="348"/>
      <c r="CZ22" s="348"/>
      <c r="DA22" s="348"/>
      <c r="DB22" s="348"/>
      <c r="DC22" s="348"/>
      <c r="DD22" s="348"/>
      <c r="DE22" s="348"/>
      <c r="DF22" s="348"/>
      <c r="DG22" s="348"/>
      <c r="DH22" s="348"/>
      <c r="DI22" s="348"/>
    </row>
    <row r="23" spans="65:113" ht="14" x14ac:dyDescent="0.3">
      <c r="BM23" s="348"/>
      <c r="BN23" s="348"/>
      <c r="BO23" s="348"/>
      <c r="BP23" s="348"/>
      <c r="BQ23" s="348"/>
      <c r="BR23" s="348"/>
      <c r="BS23" s="348"/>
      <c r="BT23" s="348"/>
      <c r="BU23" s="348"/>
      <c r="BV23" s="348"/>
      <c r="BW23" s="348"/>
      <c r="BX23" s="348"/>
      <c r="BY23" s="348"/>
      <c r="BZ23" s="348"/>
      <c r="CA23" s="348"/>
      <c r="CB23" s="348"/>
      <c r="CC23" s="348"/>
      <c r="CD23" s="348"/>
      <c r="CE23" s="348"/>
      <c r="CF23" s="348"/>
      <c r="CG23" s="348"/>
      <c r="CH23" s="348"/>
      <c r="CI23" s="348"/>
      <c r="CJ23" s="348"/>
      <c r="CK23" s="348"/>
      <c r="CL23" s="348"/>
      <c r="CM23" s="348"/>
      <c r="CN23" s="348"/>
      <c r="CO23" s="348"/>
      <c r="CP23" s="348"/>
      <c r="CQ23" s="348"/>
      <c r="CR23" s="348"/>
      <c r="CS23" s="348"/>
      <c r="CT23" s="348"/>
      <c r="CU23" s="348"/>
      <c r="CV23" s="348"/>
      <c r="CW23" s="348"/>
      <c r="CX23" s="348"/>
      <c r="CY23" s="348"/>
      <c r="CZ23" s="348"/>
      <c r="DA23" s="348"/>
      <c r="DB23" s="348"/>
      <c r="DC23" s="348"/>
      <c r="DD23" s="348"/>
      <c r="DE23" s="348"/>
      <c r="DF23" s="348"/>
      <c r="DG23" s="348"/>
      <c r="DH23" s="348"/>
      <c r="DI23" s="348"/>
    </row>
    <row r="24" spans="65:113" x14ac:dyDescent="0.35">
      <c r="BM24" s="348"/>
    </row>
    <row r="25" spans="65:113" x14ac:dyDescent="0.35">
      <c r="BM25" s="348"/>
    </row>
    <row r="26" spans="65:113" x14ac:dyDescent="0.35">
      <c r="BM26" s="348"/>
    </row>
    <row r="27" spans="65:113" x14ac:dyDescent="0.35">
      <c r="BM27" s="348"/>
    </row>
    <row r="28" spans="65:113" x14ac:dyDescent="0.35">
      <c r="BM28" s="348"/>
    </row>
    <row r="29" spans="65:113" x14ac:dyDescent="0.35">
      <c r="BM29" s="348"/>
    </row>
    <row r="30" spans="65:113" x14ac:dyDescent="0.35">
      <c r="BM30" s="348"/>
    </row>
    <row r="31" spans="65:113" x14ac:dyDescent="0.35">
      <c r="BM31" s="348"/>
    </row>
    <row r="32" spans="65:113" x14ac:dyDescent="0.35">
      <c r="BM32" s="348"/>
    </row>
    <row r="33" spans="65:65" x14ac:dyDescent="0.35">
      <c r="BM33" s="348"/>
    </row>
    <row r="34" spans="65:65" x14ac:dyDescent="0.35">
      <c r="BM34" s="348"/>
    </row>
    <row r="35" spans="65:65" x14ac:dyDescent="0.35">
      <c r="BM35" s="348"/>
    </row>
    <row r="36" spans="65:65" x14ac:dyDescent="0.35">
      <c r="BM36" s="348"/>
    </row>
  </sheetData>
  <mergeCells count="8">
    <mergeCell ref="CX1:DC1"/>
    <mergeCell ref="DD1:DI1"/>
    <mergeCell ref="BN1:BS1"/>
    <mergeCell ref="BT1:BY1"/>
    <mergeCell ref="BZ1:CE1"/>
    <mergeCell ref="CF1:CK1"/>
    <mergeCell ref="CL1:CQ1"/>
    <mergeCell ref="CR1:CW1"/>
  </mergeCells>
  <conditionalFormatting sqref="D1">
    <cfRule type="containsText" dxfId="31" priority="49" operator="containsText" text="Critical">
      <formula>NOT(ISERROR(SEARCH("Critical",D1)))</formula>
    </cfRule>
    <cfRule type="containsText" dxfId="30" priority="58" operator="containsText" text="Essential">
      <formula>NOT(ISERROR(SEARCH("Essential",D1)))</formula>
    </cfRule>
    <cfRule type="containsText" dxfId="29" priority="59" operator="containsText" text="Desirable">
      <formula>NOT(ISERROR(SEARCH("Desirable",D1)))</formula>
    </cfRule>
  </conditionalFormatting>
  <conditionalFormatting sqref="D1:D3">
    <cfRule type="containsText" dxfId="28" priority="29" operator="containsText" text="Critical">
      <formula>NOT(ISERROR(SEARCH("Critical",D1)))</formula>
    </cfRule>
  </conditionalFormatting>
  <conditionalFormatting sqref="D2:D3">
    <cfRule type="containsText" dxfId="27" priority="30" operator="containsText" text="Essential">
      <formula>NOT(ISERROR(SEARCH("Essential",D2)))</formula>
    </cfRule>
    <cfRule type="containsText" dxfId="26" priority="31" operator="containsText" text="Desirable">
      <formula>NOT(ISERROR(SEARCH("Desirable",D2)))</formula>
    </cfRule>
  </conditionalFormatting>
  <conditionalFormatting sqref="N1:AA2">
    <cfRule type="containsText" dxfId="25" priority="15" operator="containsText" text="20+">
      <formula>NOT(ISERROR(SEARCH("20+",N1)))</formula>
    </cfRule>
    <cfRule type="containsText" dxfId="24" priority="16" operator="containsText" text="unknown">
      <formula>NOT(ISERROR(SEARCH("unknown",N1)))</formula>
    </cfRule>
    <cfRule type="containsText" dxfId="23" priority="17" operator="containsText" text="15-20 years">
      <formula>NOT(ISERROR(SEARCH("15-20 years",N1)))</formula>
    </cfRule>
    <cfRule type="containsText" dxfId="22" priority="18" operator="containsText" text="10-15 years">
      <formula>NOT(ISERROR(SEARCH("10-15 years",N1)))</formula>
    </cfRule>
    <cfRule type="containsText" dxfId="21" priority="19" operator="containsText" text="5-10 years">
      <formula>NOT(ISERROR(SEARCH("5-10 years",N1)))</formula>
    </cfRule>
    <cfRule type="containsText" dxfId="20" priority="20" operator="containsText" text="0-20 years">
      <formula>NOT(ISERROR(SEARCH("0-20 years",N1)))</formula>
    </cfRule>
    <cfRule type="containsText" dxfId="19" priority="21" operator="containsText" text="0-5 years">
      <formula>NOT(ISERROR(SEARCH("0-5 years",N1)))</formula>
    </cfRule>
  </conditionalFormatting>
  <conditionalFormatting sqref="P3">
    <cfRule type="containsText" dxfId="18" priority="1" operator="containsText" text="20+">
      <formula>NOT(ISERROR(SEARCH("20+",P3)))</formula>
    </cfRule>
    <cfRule type="containsText" dxfId="17" priority="2" operator="containsText" text="unknown">
      <formula>NOT(ISERROR(SEARCH("unknown",P3)))</formula>
    </cfRule>
    <cfRule type="containsText" dxfId="16" priority="3" operator="containsText" text="15-20 years">
      <formula>NOT(ISERROR(SEARCH("15-20 years",P3)))</formula>
    </cfRule>
    <cfRule type="containsText" dxfId="15" priority="4" operator="containsText" text="10-15 years">
      <formula>NOT(ISERROR(SEARCH("10-15 years",P3)))</formula>
    </cfRule>
    <cfRule type="containsText" dxfId="14" priority="5" operator="containsText" text="5-10 years">
      <formula>NOT(ISERROR(SEARCH("5-10 years",P3)))</formula>
    </cfRule>
    <cfRule type="containsText" dxfId="13" priority="6" operator="containsText" text="0-20 years">
      <formula>NOT(ISERROR(SEARCH("0-20 years",P3)))</formula>
    </cfRule>
    <cfRule type="containsText" dxfId="12" priority="7" operator="containsText" text="0-5 years">
      <formula>NOT(ISERROR(SEARCH("0-5 years",P3)))</formula>
    </cfRule>
  </conditionalFormatting>
  <conditionalFormatting sqref="AA3">
    <cfRule type="containsText" dxfId="11" priority="8" operator="containsText" text="20+">
      <formula>NOT(ISERROR(SEARCH("20+",AA3)))</formula>
    </cfRule>
    <cfRule type="containsText" dxfId="10" priority="9" operator="containsText" text="unknown">
      <formula>NOT(ISERROR(SEARCH("unknown",AA3)))</formula>
    </cfRule>
    <cfRule type="containsText" dxfId="9" priority="10" operator="containsText" text="15-20 years">
      <formula>NOT(ISERROR(SEARCH("15-20 years",AA3)))</formula>
    </cfRule>
    <cfRule type="containsText" dxfId="8" priority="11" operator="containsText" text="10-15 years">
      <formula>NOT(ISERROR(SEARCH("10-15 years",AA3)))</formula>
    </cfRule>
    <cfRule type="containsText" dxfId="7" priority="12" operator="containsText" text="5-10 years">
      <formula>NOT(ISERROR(SEARCH("5-10 years",AA3)))</formula>
    </cfRule>
    <cfRule type="containsText" dxfId="6" priority="13" operator="containsText" text="0-20 years">
      <formula>NOT(ISERROR(SEARCH("0-20 years",AA3)))</formula>
    </cfRule>
    <cfRule type="containsText" dxfId="5" priority="14" operator="containsText" text="0-5 years">
      <formula>NOT(ISERROR(SEARCH("0-5 years",AA3)))</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79998168889431442"/>
    <pageSetUpPr autoPageBreaks="0"/>
  </sheetPr>
  <dimension ref="A1:BM77"/>
  <sheetViews>
    <sheetView showGridLines="0" view="pageBreakPreview" zoomScale="60" zoomScaleNormal="60" workbookViewId="0">
      <pane ySplit="4" topLeftCell="A5" activePane="bottomLeft" state="frozen"/>
      <selection activeCell="S7" sqref="S7:S8"/>
      <selection pane="bottomLeft" activeCell="B1" sqref="B1:AF1"/>
    </sheetView>
  </sheetViews>
  <sheetFormatPr defaultColWidth="8.90625" defaultRowHeight="16.5" x14ac:dyDescent="0.35"/>
  <cols>
    <col min="1" max="1" width="2.90625" style="758" customWidth="1"/>
    <col min="2" max="2" width="10.90625" style="761" customWidth="1"/>
    <col min="3" max="3" width="45.90625" style="761" customWidth="1"/>
    <col min="4" max="4" width="20.90625" style="761" customWidth="1"/>
    <col min="5" max="5" width="12.90625" style="793" customWidth="1"/>
    <col min="6" max="14" width="7.90625" style="793" customWidth="1"/>
    <col min="15" max="15" width="20.90625" style="793" customWidth="1"/>
    <col min="16" max="16" width="30.90625" style="761" customWidth="1"/>
    <col min="17" max="18" width="20.90625" style="793" customWidth="1"/>
    <col min="19" max="19" width="30.90625" style="761" customWidth="1"/>
    <col min="20" max="20" width="20.90625" style="761" customWidth="1"/>
    <col min="21" max="21" width="20.90625" style="793" customWidth="1"/>
    <col min="22" max="22" width="30.90625" style="793" customWidth="1"/>
    <col min="23" max="24" width="20.90625" style="793" customWidth="1"/>
    <col min="25" max="25" width="30.90625" style="793" customWidth="1"/>
    <col min="26" max="26" width="20.90625" style="761" customWidth="1"/>
    <col min="27" max="28" width="20.90625" style="793" customWidth="1"/>
    <col min="29" max="29" width="30.90625" style="793" customWidth="1"/>
    <col min="30" max="30" width="20.90625" style="761" customWidth="1"/>
    <col min="31" max="31" width="20.90625" style="793" customWidth="1"/>
    <col min="32" max="32" width="30.90625" style="761" customWidth="1"/>
    <col min="33" max="34" width="2.90625" style="758" customWidth="1"/>
    <col min="35" max="35" width="10.90625" style="761" customWidth="1"/>
    <col min="36" max="36" width="45.90625" style="761" customWidth="1"/>
    <col min="37" max="37" width="20.90625" style="761" customWidth="1"/>
    <col min="38" max="38" width="20.90625" style="1071" customWidth="1"/>
    <col min="39" max="57" width="20.90625" style="761" customWidth="1"/>
    <col min="58" max="58" width="20.90625" style="1071" customWidth="1"/>
    <col min="59" max="60" width="20.90625" style="761" customWidth="1"/>
    <col min="61" max="61" width="2.90625" style="758" customWidth="1"/>
    <col min="62" max="62" width="25.90625" style="761" customWidth="1"/>
    <col min="63" max="64" width="50.90625" style="761" customWidth="1"/>
    <col min="65" max="16384" width="8.90625" style="761"/>
  </cols>
  <sheetData>
    <row r="1" spans="1:65" ht="39.9" customHeight="1" x14ac:dyDescent="0.35">
      <c r="A1" s="757"/>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59"/>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59"/>
      <c r="BJ1" s="760"/>
      <c r="BK1" s="760"/>
      <c r="BL1" s="760"/>
      <c r="BM1" s="760"/>
    </row>
    <row r="2" spans="1:65" s="758" customFormat="1" ht="15" customHeight="1" thickBot="1" x14ac:dyDescent="0.4">
      <c r="B2" s="1072" t="s">
        <v>449</v>
      </c>
      <c r="C2" s="1072" t="s">
        <v>450</v>
      </c>
      <c r="D2" s="1072" t="s">
        <v>451</v>
      </c>
      <c r="E2" s="1072" t="s">
        <v>452</v>
      </c>
      <c r="F2" s="1467" t="s">
        <v>453</v>
      </c>
      <c r="G2" s="1468"/>
      <c r="H2" s="1468"/>
      <c r="I2" s="1468"/>
      <c r="J2" s="1468"/>
      <c r="K2" s="1468"/>
      <c r="L2" s="1468"/>
      <c r="M2" s="1468"/>
      <c r="N2" s="1469"/>
      <c r="O2" s="1072" t="s">
        <v>454</v>
      </c>
      <c r="P2" s="1072" t="s">
        <v>455</v>
      </c>
      <c r="Q2" s="1072" t="s">
        <v>456</v>
      </c>
      <c r="R2" s="1072"/>
      <c r="S2" s="1072" t="s">
        <v>457</v>
      </c>
      <c r="T2" s="1072" t="s">
        <v>458</v>
      </c>
      <c r="U2" s="1072" t="s">
        <v>459</v>
      </c>
      <c r="V2" s="1072" t="s">
        <v>460</v>
      </c>
      <c r="W2" s="1072" t="s">
        <v>461</v>
      </c>
      <c r="X2" s="1072" t="s">
        <v>242</v>
      </c>
      <c r="Y2" s="1072" t="s">
        <v>462</v>
      </c>
      <c r="Z2" s="1072" t="s">
        <v>463</v>
      </c>
      <c r="AA2" s="1072" t="s">
        <v>464</v>
      </c>
      <c r="AB2" s="1072" t="s">
        <v>465</v>
      </c>
      <c r="AC2" s="1072" t="s">
        <v>466</v>
      </c>
      <c r="AD2" s="1072" t="s">
        <v>467</v>
      </c>
      <c r="AE2" s="1072" t="s">
        <v>468</v>
      </c>
      <c r="AF2" s="1072" t="s">
        <v>469</v>
      </c>
      <c r="AG2" s="1140"/>
      <c r="AH2" s="1141"/>
      <c r="AI2" s="1072" t="s">
        <v>449</v>
      </c>
      <c r="AJ2" s="1072" t="s">
        <v>450</v>
      </c>
      <c r="AK2" s="1072" t="s">
        <v>471</v>
      </c>
      <c r="AL2" s="1073" t="s">
        <v>472</v>
      </c>
      <c r="AM2" s="1072" t="s">
        <v>473</v>
      </c>
      <c r="AN2" s="1072" t="s">
        <v>474</v>
      </c>
      <c r="AO2" s="1072" t="s">
        <v>475</v>
      </c>
      <c r="AP2" s="1072" t="s">
        <v>476</v>
      </c>
      <c r="AQ2" s="1072" t="s">
        <v>477</v>
      </c>
      <c r="AR2" s="1072" t="s">
        <v>478</v>
      </c>
      <c r="AS2" s="1072" t="s">
        <v>479</v>
      </c>
      <c r="AT2" s="1072" t="s">
        <v>480</v>
      </c>
      <c r="AU2" s="1072" t="s">
        <v>481</v>
      </c>
      <c r="AV2" s="1072" t="s">
        <v>482</v>
      </c>
      <c r="AW2" s="1072" t="s">
        <v>483</v>
      </c>
      <c r="AX2" s="1072" t="s">
        <v>484</v>
      </c>
      <c r="AY2" s="1072" t="s">
        <v>485</v>
      </c>
      <c r="AZ2" s="1072" t="s">
        <v>486</v>
      </c>
      <c r="BA2" s="1072" t="s">
        <v>487</v>
      </c>
      <c r="BB2" s="1072" t="s">
        <v>488</v>
      </c>
      <c r="BC2" s="1072" t="s">
        <v>489</v>
      </c>
      <c r="BD2" s="1072" t="s">
        <v>490</v>
      </c>
      <c r="BE2" s="1072" t="s">
        <v>491</v>
      </c>
      <c r="BF2" s="1073" t="s">
        <v>492</v>
      </c>
      <c r="BG2" s="1072" t="s">
        <v>493</v>
      </c>
      <c r="BH2" s="1072" t="s">
        <v>494</v>
      </c>
    </row>
    <row r="3" spans="1:65" ht="99.9" customHeight="1" thickTop="1" x14ac:dyDescent="0.35">
      <c r="B3" s="1392" t="s">
        <v>2231</v>
      </c>
      <c r="C3" s="768"/>
      <c r="D3" s="1385" t="s">
        <v>495</v>
      </c>
      <c r="E3" s="1394" t="s">
        <v>496</v>
      </c>
      <c r="F3" s="1396" t="s">
        <v>219</v>
      </c>
      <c r="G3" s="1396"/>
      <c r="H3" s="1396"/>
      <c r="I3" s="1396"/>
      <c r="J3" s="1396"/>
      <c r="K3" s="1396"/>
      <c r="L3" s="1396"/>
      <c r="M3" s="1396"/>
      <c r="N3" s="1396"/>
      <c r="O3" s="1385" t="s">
        <v>214</v>
      </c>
      <c r="P3" s="1400" t="s">
        <v>497</v>
      </c>
      <c r="Q3" s="1385" t="s">
        <v>498</v>
      </c>
      <c r="R3" s="1321" t="s">
        <v>2233</v>
      </c>
      <c r="S3" s="1391" t="s">
        <v>499</v>
      </c>
      <c r="T3" s="1388" t="s">
        <v>501</v>
      </c>
      <c r="U3" s="1390" t="s">
        <v>2</v>
      </c>
      <c r="V3" s="1391" t="s">
        <v>500</v>
      </c>
      <c r="W3" s="1552" t="s">
        <v>1898</v>
      </c>
      <c r="X3" s="1553" t="s">
        <v>503</v>
      </c>
      <c r="Y3" s="1385" t="s">
        <v>504</v>
      </c>
      <c r="Z3" s="1388" t="s">
        <v>505</v>
      </c>
      <c r="AA3" s="1552" t="s">
        <v>506</v>
      </c>
      <c r="AB3" s="1553" t="s">
        <v>1575</v>
      </c>
      <c r="AC3" s="1385" t="s">
        <v>504</v>
      </c>
      <c r="AD3" s="1388" t="s">
        <v>505</v>
      </c>
      <c r="AE3" s="1494" t="s">
        <v>508</v>
      </c>
      <c r="AF3" s="1497" t="s">
        <v>509</v>
      </c>
      <c r="AG3" s="769"/>
      <c r="AH3" s="770"/>
      <c r="AI3" s="1523" t="s">
        <v>2231</v>
      </c>
      <c r="AJ3" s="771"/>
      <c r="AK3" s="772" t="s">
        <v>2234</v>
      </c>
      <c r="AL3" s="773" t="s">
        <v>2235</v>
      </c>
      <c r="AM3" s="773" t="s">
        <v>2236</v>
      </c>
      <c r="AN3" s="773" t="s">
        <v>2237</v>
      </c>
      <c r="AO3" s="773" t="s">
        <v>2238</v>
      </c>
      <c r="AP3" s="773" t="s">
        <v>2239</v>
      </c>
      <c r="AQ3" s="774" t="s">
        <v>2240</v>
      </c>
      <c r="AR3" s="775" t="s">
        <v>2241</v>
      </c>
      <c r="AS3" s="773" t="s">
        <v>2242</v>
      </c>
      <c r="AT3" s="773" t="s">
        <v>2243</v>
      </c>
      <c r="AU3" s="773" t="s">
        <v>2244</v>
      </c>
      <c r="AV3" s="773" t="s">
        <v>2245</v>
      </c>
      <c r="AW3" s="773" t="s">
        <v>2246</v>
      </c>
      <c r="AX3" s="773" t="s">
        <v>2247</v>
      </c>
      <c r="AY3" s="773" t="s">
        <v>2248</v>
      </c>
      <c r="AZ3" s="773" t="s">
        <v>2249</v>
      </c>
      <c r="BA3" s="773" t="s">
        <v>2250</v>
      </c>
      <c r="BB3" s="773" t="s">
        <v>2251</v>
      </c>
      <c r="BC3" s="773" t="s">
        <v>2252</v>
      </c>
      <c r="BD3" s="773" t="s">
        <v>2253</v>
      </c>
      <c r="BE3" s="774" t="s">
        <v>2254</v>
      </c>
      <c r="BF3" s="775" t="s">
        <v>2255</v>
      </c>
      <c r="BG3" s="1398" t="s">
        <v>41</v>
      </c>
      <c r="BH3" s="1382" t="s">
        <v>42</v>
      </c>
      <c r="BJ3" s="777"/>
      <c r="BK3" s="778"/>
      <c r="BL3" s="778"/>
    </row>
    <row r="4" spans="1:65" s="793" customFormat="1" ht="50.15" customHeight="1" x14ac:dyDescent="0.35">
      <c r="A4" s="880"/>
      <c r="B4" s="1393"/>
      <c r="C4" s="780" t="s">
        <v>2003</v>
      </c>
      <c r="D4" s="1286"/>
      <c r="E4" s="1395"/>
      <c r="F4" s="333" t="s">
        <v>512</v>
      </c>
      <c r="G4" s="333" t="s">
        <v>513</v>
      </c>
      <c r="H4" s="333" t="s">
        <v>514</v>
      </c>
      <c r="I4" s="333" t="s">
        <v>515</v>
      </c>
      <c r="J4" s="333" t="s">
        <v>516</v>
      </c>
      <c r="K4" s="333" t="s">
        <v>517</v>
      </c>
      <c r="L4" s="333" t="s">
        <v>518</v>
      </c>
      <c r="M4" s="333" t="s">
        <v>519</v>
      </c>
      <c r="N4" s="333" t="s">
        <v>520</v>
      </c>
      <c r="O4" s="1397"/>
      <c r="P4" s="1401"/>
      <c r="Q4" s="1286"/>
      <c r="R4" s="1322"/>
      <c r="S4" s="1241"/>
      <c r="T4" s="1288"/>
      <c r="U4" s="1320"/>
      <c r="V4" s="1241"/>
      <c r="W4" s="1529"/>
      <c r="X4" s="1539"/>
      <c r="Y4" s="1286"/>
      <c r="Z4" s="1288"/>
      <c r="AA4" s="1529"/>
      <c r="AB4" s="1539"/>
      <c r="AC4" s="1286"/>
      <c r="AD4" s="1288"/>
      <c r="AE4" s="1249"/>
      <c r="AF4" s="1498"/>
      <c r="AG4" s="781"/>
      <c r="AH4" s="782"/>
      <c r="AI4" s="1397"/>
      <c r="AJ4" s="783" t="s">
        <v>2003</v>
      </c>
      <c r="AK4" s="784">
        <v>8500</v>
      </c>
      <c r="AL4" s="785">
        <v>1500</v>
      </c>
      <c r="AM4" s="785">
        <v>2600</v>
      </c>
      <c r="AN4" s="786">
        <v>750</v>
      </c>
      <c r="AO4" s="786" t="s">
        <v>48</v>
      </c>
      <c r="AP4" s="785">
        <v>2100</v>
      </c>
      <c r="AQ4" s="787">
        <v>1050</v>
      </c>
      <c r="AR4" s="788">
        <v>550</v>
      </c>
      <c r="AS4" s="786">
        <v>70</v>
      </c>
      <c r="AT4" s="786">
        <v>30</v>
      </c>
      <c r="AU4" s="786">
        <v>35</v>
      </c>
      <c r="AV4" s="786">
        <v>35</v>
      </c>
      <c r="AW4" s="786">
        <v>20</v>
      </c>
      <c r="AX4" s="786">
        <v>16</v>
      </c>
      <c r="AY4" s="786">
        <v>15</v>
      </c>
      <c r="AZ4" s="786">
        <v>13</v>
      </c>
      <c r="BA4" s="786">
        <v>10</v>
      </c>
      <c r="BB4" s="786">
        <v>10</v>
      </c>
      <c r="BC4" s="786">
        <v>10</v>
      </c>
      <c r="BD4" s="786">
        <v>10</v>
      </c>
      <c r="BE4" s="789">
        <v>10</v>
      </c>
      <c r="BF4" s="790">
        <v>2120</v>
      </c>
      <c r="BG4" s="1399"/>
      <c r="BH4" s="1383"/>
      <c r="BI4" s="1074"/>
      <c r="BJ4" s="791"/>
      <c r="BK4" s="792"/>
      <c r="BL4" s="792"/>
    </row>
    <row r="5" spans="1:65" ht="17.25" customHeight="1" x14ac:dyDescent="0.35">
      <c r="B5" s="795"/>
      <c r="C5" s="796" t="s">
        <v>521</v>
      </c>
      <c r="D5" s="302"/>
      <c r="E5" s="303"/>
      <c r="F5" s="303"/>
      <c r="G5" s="303"/>
      <c r="H5" s="303"/>
      <c r="I5" s="303"/>
      <c r="J5" s="303"/>
      <c r="K5" s="303"/>
      <c r="L5" s="303"/>
      <c r="M5" s="303"/>
      <c r="N5" s="307"/>
      <c r="O5" s="303"/>
      <c r="P5" s="302"/>
      <c r="Q5" s="305"/>
      <c r="R5" s="305"/>
      <c r="S5" s="306"/>
      <c r="T5" s="560"/>
      <c r="U5" s="305"/>
      <c r="V5" s="305"/>
      <c r="W5" s="506"/>
      <c r="X5" s="584"/>
      <c r="Y5" s="307"/>
      <c r="Z5" s="560"/>
      <c r="AA5" s="506"/>
      <c r="AB5" s="584"/>
      <c r="AC5" s="307"/>
      <c r="AD5" s="560"/>
      <c r="AE5" s="305"/>
      <c r="AF5" s="1157"/>
      <c r="AG5" s="798"/>
      <c r="AH5" s="799"/>
      <c r="AI5" s="1158"/>
      <c r="AJ5" s="801" t="s">
        <v>521</v>
      </c>
      <c r="AK5" s="802"/>
      <c r="AL5" s="803"/>
      <c r="AM5" s="804"/>
      <c r="AN5" s="803"/>
      <c r="AO5" s="803"/>
      <c r="AP5" s="803"/>
      <c r="AQ5" s="804"/>
      <c r="AR5" s="805"/>
      <c r="AS5" s="803"/>
      <c r="AT5" s="803"/>
      <c r="AU5" s="803"/>
      <c r="AV5" s="803"/>
      <c r="AW5" s="803"/>
      <c r="AX5" s="803"/>
      <c r="AY5" s="803"/>
      <c r="AZ5" s="803"/>
      <c r="BA5" s="803"/>
      <c r="BB5" s="803"/>
      <c r="BC5" s="803"/>
      <c r="BD5" s="803"/>
      <c r="BE5" s="804"/>
      <c r="BF5" s="805"/>
      <c r="BG5" s="302"/>
      <c r="BH5" s="570"/>
      <c r="BJ5" s="823"/>
      <c r="BK5" s="806"/>
      <c r="BL5" s="807"/>
    </row>
    <row r="6" spans="1:65" ht="125.15" customHeight="1" x14ac:dyDescent="0.35">
      <c r="A6" s="1459">
        <v>1</v>
      </c>
      <c r="B6" s="1418" t="s">
        <v>2004</v>
      </c>
      <c r="C6" s="1420" t="s">
        <v>2005</v>
      </c>
      <c r="D6" s="1422"/>
      <c r="E6" s="1374" t="s">
        <v>524</v>
      </c>
      <c r="F6" s="808"/>
      <c r="G6" s="809"/>
      <c r="H6" s="809"/>
      <c r="I6" s="809"/>
      <c r="J6" s="810"/>
      <c r="K6" s="809"/>
      <c r="L6" s="809"/>
      <c r="M6" s="809"/>
      <c r="N6" s="811"/>
      <c r="O6" s="1422" t="s">
        <v>525</v>
      </c>
      <c r="P6" s="1422" t="s">
        <v>526</v>
      </c>
      <c r="Q6" s="324" t="s">
        <v>527</v>
      </c>
      <c r="R6" s="324"/>
      <c r="S6" s="1424" t="s">
        <v>528</v>
      </c>
      <c r="T6" s="1426"/>
      <c r="U6" s="324"/>
      <c r="V6" s="1424"/>
      <c r="W6" s="551"/>
      <c r="X6" s="589" t="s">
        <v>527</v>
      </c>
      <c r="Y6" s="1424" t="s">
        <v>528</v>
      </c>
      <c r="Z6" s="1426"/>
      <c r="AA6" s="551"/>
      <c r="AB6" s="589" t="s">
        <v>527</v>
      </c>
      <c r="AC6" s="1424"/>
      <c r="AD6" s="1426"/>
      <c r="AE6" s="324"/>
      <c r="AF6" s="1476"/>
      <c r="AG6" s="1309">
        <v>1</v>
      </c>
      <c r="AH6" s="1275">
        <v>1</v>
      </c>
      <c r="AI6" s="1524" t="s">
        <v>2004</v>
      </c>
      <c r="AJ6" s="1428" t="s">
        <v>2005</v>
      </c>
      <c r="AK6" s="695" t="s">
        <v>527</v>
      </c>
      <c r="AL6" s="569" t="s">
        <v>527</v>
      </c>
      <c r="AM6" s="569" t="s">
        <v>527</v>
      </c>
      <c r="AN6" s="569" t="s">
        <v>527</v>
      </c>
      <c r="AO6" s="569" t="s">
        <v>527</v>
      </c>
      <c r="AP6" s="569" t="s">
        <v>527</v>
      </c>
      <c r="AQ6" s="643" t="s">
        <v>527</v>
      </c>
      <c r="AR6" s="589" t="s">
        <v>527</v>
      </c>
      <c r="AS6" s="569" t="s">
        <v>527</v>
      </c>
      <c r="AT6" s="569" t="s">
        <v>527</v>
      </c>
      <c r="AU6" s="569" t="s">
        <v>527</v>
      </c>
      <c r="AV6" s="569" t="s">
        <v>527</v>
      </c>
      <c r="AW6" s="569" t="s">
        <v>527</v>
      </c>
      <c r="AX6" s="569" t="s">
        <v>527</v>
      </c>
      <c r="AY6" s="569" t="s">
        <v>527</v>
      </c>
      <c r="AZ6" s="569" t="s">
        <v>527</v>
      </c>
      <c r="BA6" s="569" t="s">
        <v>527</v>
      </c>
      <c r="BB6" s="569" t="s">
        <v>527</v>
      </c>
      <c r="BC6" s="569" t="s">
        <v>527</v>
      </c>
      <c r="BD6" s="569" t="s">
        <v>527</v>
      </c>
      <c r="BE6" s="643" t="s">
        <v>527</v>
      </c>
      <c r="BF6" s="589" t="s">
        <v>527</v>
      </c>
      <c r="BG6" s="569" t="s">
        <v>527</v>
      </c>
      <c r="BH6" s="815"/>
      <c r="BI6" s="1432">
        <v>1</v>
      </c>
      <c r="BJ6" s="823"/>
      <c r="BK6" s="1414"/>
      <c r="BL6" s="1316"/>
    </row>
    <row r="7" spans="1:65" ht="125.15" customHeight="1" x14ac:dyDescent="0.35">
      <c r="A7" s="1460"/>
      <c r="B7" s="1419"/>
      <c r="C7" s="1421"/>
      <c r="D7" s="1423"/>
      <c r="E7" s="1373"/>
      <c r="F7" s="1415"/>
      <c r="G7" s="1416"/>
      <c r="H7" s="1416"/>
      <c r="I7" s="1416"/>
      <c r="J7" s="1416"/>
      <c r="K7" s="1416"/>
      <c r="L7" s="1416"/>
      <c r="M7" s="1416"/>
      <c r="N7" s="1417"/>
      <c r="O7" s="1423"/>
      <c r="P7" s="1423"/>
      <c r="Q7" s="456"/>
      <c r="R7" s="456"/>
      <c r="S7" s="1425"/>
      <c r="T7" s="1427"/>
      <c r="U7" s="326"/>
      <c r="V7" s="1425"/>
      <c r="W7" s="487"/>
      <c r="X7" s="599"/>
      <c r="Y7" s="1425"/>
      <c r="Z7" s="1427"/>
      <c r="AA7" s="561"/>
      <c r="AB7" s="599"/>
      <c r="AC7" s="1425"/>
      <c r="AD7" s="1427"/>
      <c r="AE7" s="323"/>
      <c r="AF7" s="1477"/>
      <c r="AG7" s="1310"/>
      <c r="AH7" s="1276"/>
      <c r="AI7" s="1525"/>
      <c r="AJ7" s="1429"/>
      <c r="AK7" s="696"/>
      <c r="AL7" s="564"/>
      <c r="AM7" s="564"/>
      <c r="AN7" s="564"/>
      <c r="AO7" s="564"/>
      <c r="AP7" s="564"/>
      <c r="AQ7" s="697"/>
      <c r="AR7" s="585"/>
      <c r="AS7" s="663"/>
      <c r="AT7" s="663"/>
      <c r="AU7" s="663"/>
      <c r="AV7" s="663"/>
      <c r="AW7" s="663"/>
      <c r="AX7" s="663"/>
      <c r="AY7" s="663"/>
      <c r="AZ7" s="663"/>
      <c r="BA7" s="663"/>
      <c r="BB7" s="663"/>
      <c r="BC7" s="663"/>
      <c r="BD7" s="663"/>
      <c r="BE7" s="711"/>
      <c r="BF7" s="585"/>
      <c r="BG7" s="663"/>
      <c r="BH7" s="817"/>
      <c r="BI7" s="1433"/>
      <c r="BJ7" s="823"/>
      <c r="BK7" s="1414"/>
      <c r="BL7" s="1317"/>
    </row>
    <row r="8" spans="1:65" ht="17.25" customHeight="1" x14ac:dyDescent="0.35">
      <c r="A8" s="821"/>
      <c r="B8" s="795"/>
      <c r="C8" s="302"/>
      <c r="D8" s="302"/>
      <c r="E8" s="303"/>
      <c r="F8" s="303"/>
      <c r="G8" s="303"/>
      <c r="H8" s="303"/>
      <c r="I8" s="303"/>
      <c r="J8" s="303"/>
      <c r="K8" s="303"/>
      <c r="L8" s="303"/>
      <c r="M8" s="303"/>
      <c r="N8" s="307"/>
      <c r="O8" s="303"/>
      <c r="P8" s="302"/>
      <c r="Q8" s="305"/>
      <c r="R8" s="305"/>
      <c r="S8" s="306"/>
      <c r="T8" s="560"/>
      <c r="U8" s="305"/>
      <c r="V8" s="305"/>
      <c r="W8" s="506"/>
      <c r="X8" s="584"/>
      <c r="Y8" s="307"/>
      <c r="Z8" s="560"/>
      <c r="AA8" s="506"/>
      <c r="AB8" s="584"/>
      <c r="AC8" s="307"/>
      <c r="AD8" s="560"/>
      <c r="AE8" s="305"/>
      <c r="AF8" s="1157"/>
      <c r="AG8" s="1078"/>
      <c r="AH8" s="1079"/>
      <c r="AI8" s="1158"/>
      <c r="AJ8" s="570"/>
      <c r="AK8" s="802"/>
      <c r="AL8" s="803"/>
      <c r="AM8" s="804"/>
      <c r="AN8" s="803"/>
      <c r="AO8" s="803"/>
      <c r="AP8" s="803"/>
      <c r="AQ8" s="804"/>
      <c r="AR8" s="805"/>
      <c r="AS8" s="803"/>
      <c r="AT8" s="803"/>
      <c r="AU8" s="803"/>
      <c r="AV8" s="803"/>
      <c r="AW8" s="803"/>
      <c r="AX8" s="803"/>
      <c r="AY8" s="803"/>
      <c r="AZ8" s="803"/>
      <c r="BA8" s="803"/>
      <c r="BB8" s="803"/>
      <c r="BC8" s="803"/>
      <c r="BD8" s="803"/>
      <c r="BE8" s="804"/>
      <c r="BF8" s="805"/>
      <c r="BG8" s="302"/>
      <c r="BH8" s="570"/>
      <c r="BI8" s="821"/>
      <c r="BJ8" s="823"/>
      <c r="BK8" s="807"/>
      <c r="BL8" s="807"/>
    </row>
    <row r="9" spans="1:65" ht="125.15" customHeight="1" x14ac:dyDescent="0.35">
      <c r="A9" s="1459">
        <v>2</v>
      </c>
      <c r="B9" s="1358" t="s">
        <v>2320</v>
      </c>
      <c r="C9" s="1281" t="s">
        <v>2006</v>
      </c>
      <c r="D9" s="1281" t="s">
        <v>2007</v>
      </c>
      <c r="E9" s="1470"/>
      <c r="F9" s="1081"/>
      <c r="G9" s="826"/>
      <c r="H9" s="826"/>
      <c r="I9" s="826"/>
      <c r="J9" s="827"/>
      <c r="K9" s="826"/>
      <c r="L9" s="826"/>
      <c r="M9" s="826"/>
      <c r="N9" s="828"/>
      <c r="O9" s="1281" t="s">
        <v>2008</v>
      </c>
      <c r="P9" s="1281" t="s">
        <v>2009</v>
      </c>
      <c r="Q9" s="465"/>
      <c r="R9" s="465"/>
      <c r="S9" s="1268" t="s">
        <v>2010</v>
      </c>
      <c r="T9" s="1279" t="s">
        <v>2321</v>
      </c>
      <c r="U9" s="1165"/>
      <c r="V9" s="1268" t="s">
        <v>2011</v>
      </c>
      <c r="W9" s="601"/>
      <c r="X9" s="582" t="s">
        <v>2012</v>
      </c>
      <c r="Y9" s="1268" t="s">
        <v>2013</v>
      </c>
      <c r="Z9" s="1279" t="s">
        <v>2322</v>
      </c>
      <c r="AA9" s="601"/>
      <c r="AB9" s="610"/>
      <c r="AC9" s="1268"/>
      <c r="AD9" s="1279"/>
      <c r="AE9" s="457"/>
      <c r="AF9" s="1279" t="s">
        <v>2014</v>
      </c>
      <c r="AG9" s="1309">
        <v>2</v>
      </c>
      <c r="AH9" s="1275">
        <v>2</v>
      </c>
      <c r="AI9" s="1526" t="s">
        <v>2320</v>
      </c>
      <c r="AJ9" s="1293" t="s">
        <v>2006</v>
      </c>
      <c r="AK9" s="1091"/>
      <c r="AL9" s="1091"/>
      <c r="AM9" s="1099"/>
      <c r="AN9" s="563" t="s">
        <v>2012</v>
      </c>
      <c r="AO9" s="493"/>
      <c r="AP9" s="1099"/>
      <c r="AQ9" s="1099"/>
      <c r="AR9" s="597"/>
      <c r="AS9" s="493"/>
      <c r="AT9" s="493"/>
      <c r="AU9" s="493"/>
      <c r="AV9" s="493"/>
      <c r="AW9" s="493"/>
      <c r="AX9" s="493"/>
      <c r="AY9" s="493"/>
      <c r="AZ9" s="493"/>
      <c r="BA9" s="493"/>
      <c r="BB9" s="493"/>
      <c r="BC9" s="493"/>
      <c r="BD9" s="493"/>
      <c r="BE9" s="1099"/>
      <c r="BF9" s="885"/>
      <c r="BG9" s="752"/>
      <c r="BH9" s="815"/>
      <c r="BI9" s="1432">
        <v>2</v>
      </c>
      <c r="BJ9" s="823"/>
      <c r="BK9" s="1316"/>
      <c r="BL9" s="1323"/>
    </row>
    <row r="10" spans="1:65" ht="125.15" customHeight="1" x14ac:dyDescent="0.35">
      <c r="A10" s="1460"/>
      <c r="B10" s="1359"/>
      <c r="C10" s="1282"/>
      <c r="D10" s="1282"/>
      <c r="E10" s="1471"/>
      <c r="F10" s="1313" t="s">
        <v>2015</v>
      </c>
      <c r="G10" s="1314"/>
      <c r="H10" s="1314"/>
      <c r="I10" s="1314"/>
      <c r="J10" s="1314"/>
      <c r="K10" s="1314"/>
      <c r="L10" s="1314"/>
      <c r="M10" s="1314"/>
      <c r="N10" s="1315"/>
      <c r="O10" s="1282"/>
      <c r="P10" s="1282"/>
      <c r="Q10" s="465">
        <v>12000000</v>
      </c>
      <c r="R10" s="465">
        <v>13415929</v>
      </c>
      <c r="S10" s="1270"/>
      <c r="T10" s="1308"/>
      <c r="U10" s="835">
        <v>341482</v>
      </c>
      <c r="V10" s="1270"/>
      <c r="W10" s="1226">
        <f>Q10-U10</f>
        <v>11658518</v>
      </c>
      <c r="X10" s="599"/>
      <c r="Y10" s="1270"/>
      <c r="Z10" s="1308"/>
      <c r="AA10" s="571">
        <f>W10</f>
        <v>11658518</v>
      </c>
      <c r="AB10" s="598"/>
      <c r="AC10" s="1270"/>
      <c r="AD10" s="1308"/>
      <c r="AE10" s="459">
        <f>AA10</f>
        <v>11658518</v>
      </c>
      <c r="AF10" s="1308"/>
      <c r="AG10" s="1310"/>
      <c r="AH10" s="1276"/>
      <c r="AI10" s="1527"/>
      <c r="AJ10" s="1295"/>
      <c r="AK10" s="629"/>
      <c r="AL10" s="477"/>
      <c r="AM10" s="488"/>
      <c r="AN10" s="697"/>
      <c r="AO10" s="477"/>
      <c r="AP10" s="488"/>
      <c r="AQ10" s="488"/>
      <c r="AR10" s="628"/>
      <c r="AS10" s="477"/>
      <c r="AT10" s="477"/>
      <c r="AU10" s="477"/>
      <c r="AV10" s="477"/>
      <c r="AW10" s="477"/>
      <c r="AX10" s="477"/>
      <c r="AY10" s="477"/>
      <c r="AZ10" s="477"/>
      <c r="BA10" s="477"/>
      <c r="BB10" s="477"/>
      <c r="BC10" s="477"/>
      <c r="BD10" s="477"/>
      <c r="BE10" s="488"/>
      <c r="BF10" s="902"/>
      <c r="BG10" s="753"/>
      <c r="BH10" s="817"/>
      <c r="BI10" s="1433"/>
      <c r="BJ10" s="823"/>
      <c r="BK10" s="1317"/>
      <c r="BL10" s="1324"/>
    </row>
    <row r="11" spans="1:65" ht="125.15" customHeight="1" x14ac:dyDescent="0.35">
      <c r="A11" s="1459">
        <v>3</v>
      </c>
      <c r="B11" s="1358" t="s">
        <v>2016</v>
      </c>
      <c r="C11" s="1281" t="s">
        <v>2017</v>
      </c>
      <c r="D11" s="1281" t="s">
        <v>2007</v>
      </c>
      <c r="E11" s="1470"/>
      <c r="F11" s="851"/>
      <c r="G11" s="826"/>
      <c r="H11" s="826"/>
      <c r="I11" s="826"/>
      <c r="J11" s="826"/>
      <c r="K11" s="826"/>
      <c r="L11" s="826"/>
      <c r="M11" s="826"/>
      <c r="N11" s="828"/>
      <c r="O11" s="1281" t="s">
        <v>632</v>
      </c>
      <c r="P11" s="1281"/>
      <c r="Q11" s="329"/>
      <c r="R11" s="329"/>
      <c r="S11" s="1268"/>
      <c r="T11" s="1311"/>
      <c r="U11" s="329"/>
      <c r="V11" s="1268"/>
      <c r="W11" s="489"/>
      <c r="X11" s="589" t="s">
        <v>2018</v>
      </c>
      <c r="Y11" s="1268"/>
      <c r="Z11" s="1311"/>
      <c r="AA11" s="489"/>
      <c r="AB11" s="589" t="s">
        <v>2018</v>
      </c>
      <c r="AC11" s="1268"/>
      <c r="AD11" s="1311"/>
      <c r="AE11" s="329"/>
      <c r="AF11" s="1480"/>
      <c r="AG11" s="1309">
        <v>3</v>
      </c>
      <c r="AH11" s="1275">
        <v>3</v>
      </c>
      <c r="AI11" s="1526" t="s">
        <v>2016</v>
      </c>
      <c r="AJ11" s="1293" t="s">
        <v>2017</v>
      </c>
      <c r="AK11" s="600" t="s">
        <v>2018</v>
      </c>
      <c r="AL11" s="600" t="s">
        <v>2018</v>
      </c>
      <c r="AM11" s="600" t="s">
        <v>2018</v>
      </c>
      <c r="AN11" s="600" t="s">
        <v>2018</v>
      </c>
      <c r="AO11" s="600" t="s">
        <v>2018</v>
      </c>
      <c r="AP11" s="600" t="s">
        <v>2018</v>
      </c>
      <c r="AQ11" s="695" t="s">
        <v>2018</v>
      </c>
      <c r="AR11" s="589" t="s">
        <v>2018</v>
      </c>
      <c r="AS11" s="600" t="s">
        <v>2019</v>
      </c>
      <c r="AT11" s="600" t="s">
        <v>2019</v>
      </c>
      <c r="AU11" s="600" t="s">
        <v>2019</v>
      </c>
      <c r="AV11" s="600" t="s">
        <v>2019</v>
      </c>
      <c r="AW11" s="600" t="s">
        <v>2019</v>
      </c>
      <c r="AX11" s="600" t="s">
        <v>2019</v>
      </c>
      <c r="AY11" s="600" t="s">
        <v>2019</v>
      </c>
      <c r="AZ11" s="600" t="s">
        <v>2019</v>
      </c>
      <c r="BA11" s="600" t="s">
        <v>2019</v>
      </c>
      <c r="BB11" s="600" t="s">
        <v>2019</v>
      </c>
      <c r="BC11" s="600" t="s">
        <v>2019</v>
      </c>
      <c r="BD11" s="600" t="s">
        <v>2019</v>
      </c>
      <c r="BE11" s="695" t="s">
        <v>2019</v>
      </c>
      <c r="BF11" s="589" t="s">
        <v>2019</v>
      </c>
      <c r="BG11" s="600" t="s">
        <v>2019</v>
      </c>
      <c r="BH11" s="1088"/>
      <c r="BI11" s="1432">
        <v>3</v>
      </c>
      <c r="BJ11" s="823"/>
      <c r="BK11" s="1316"/>
      <c r="BL11" s="1323"/>
    </row>
    <row r="12" spans="1:65" ht="125.15" customHeight="1" x14ac:dyDescent="0.35">
      <c r="A12" s="1460"/>
      <c r="B12" s="1359"/>
      <c r="C12" s="1282"/>
      <c r="D12" s="1282"/>
      <c r="E12" s="1471"/>
      <c r="F12" s="1313" t="s">
        <v>2015</v>
      </c>
      <c r="G12" s="1314"/>
      <c r="H12" s="1314"/>
      <c r="I12" s="1314"/>
      <c r="J12" s="1314"/>
      <c r="K12" s="1314"/>
      <c r="L12" s="1314"/>
      <c r="M12" s="1314"/>
      <c r="N12" s="1315"/>
      <c r="O12" s="1282"/>
      <c r="P12" s="1282"/>
      <c r="Q12" s="328"/>
      <c r="R12" s="328"/>
      <c r="S12" s="1270"/>
      <c r="T12" s="1312"/>
      <c r="U12" s="328"/>
      <c r="V12" s="1270"/>
      <c r="W12" s="583"/>
      <c r="X12" s="599"/>
      <c r="Y12" s="1270"/>
      <c r="Z12" s="1312"/>
      <c r="AA12" s="583"/>
      <c r="AB12" s="599"/>
      <c r="AC12" s="1270"/>
      <c r="AD12" s="1312"/>
      <c r="AE12" s="328"/>
      <c r="AF12" s="1481"/>
      <c r="AG12" s="1310"/>
      <c r="AH12" s="1276"/>
      <c r="AI12" s="1527"/>
      <c r="AJ12" s="1295"/>
      <c r="AK12" s="696"/>
      <c r="AL12" s="564"/>
      <c r="AM12" s="697"/>
      <c r="AN12" s="564"/>
      <c r="AO12" s="1227"/>
      <c r="AP12" s="697"/>
      <c r="AQ12" s="697"/>
      <c r="AR12" s="599"/>
      <c r="AS12" s="906"/>
      <c r="AT12" s="906"/>
      <c r="AU12" s="906"/>
      <c r="AV12" s="906"/>
      <c r="AW12" s="906"/>
      <c r="AX12" s="906"/>
      <c r="AY12" s="906"/>
      <c r="AZ12" s="906"/>
      <c r="BA12" s="906"/>
      <c r="BB12" s="906"/>
      <c r="BC12" s="906"/>
      <c r="BD12" s="906"/>
      <c r="BE12" s="909"/>
      <c r="BF12" s="908"/>
      <c r="BG12" s="906"/>
      <c r="BH12" s="817"/>
      <c r="BI12" s="1433"/>
      <c r="BJ12" s="823"/>
      <c r="BK12" s="1317"/>
      <c r="BL12" s="1324"/>
    </row>
    <row r="13" spans="1:65" ht="125.15" customHeight="1" x14ac:dyDescent="0.35">
      <c r="A13" s="1459">
        <v>4</v>
      </c>
      <c r="B13" s="1358" t="s">
        <v>2323</v>
      </c>
      <c r="C13" s="1281" t="s">
        <v>2020</v>
      </c>
      <c r="D13" s="1281" t="s">
        <v>2007</v>
      </c>
      <c r="E13" s="1470"/>
      <c r="F13" s="851"/>
      <c r="G13" s="826"/>
      <c r="H13" s="826"/>
      <c r="I13" s="826"/>
      <c r="J13" s="826"/>
      <c r="K13" s="826"/>
      <c r="L13" s="852"/>
      <c r="M13" s="826"/>
      <c r="N13" s="828"/>
      <c r="O13" s="1281" t="s">
        <v>2021</v>
      </c>
      <c r="P13" s="1281" t="s">
        <v>2022</v>
      </c>
      <c r="Q13" s="455"/>
      <c r="R13" s="455"/>
      <c r="S13" s="1268" t="s">
        <v>2023</v>
      </c>
      <c r="T13" s="1279" t="s">
        <v>2024</v>
      </c>
      <c r="U13" s="329"/>
      <c r="V13" s="1268" t="s">
        <v>2025</v>
      </c>
      <c r="W13" s="572"/>
      <c r="X13" s="588"/>
      <c r="Y13" s="1281" t="s">
        <v>2026</v>
      </c>
      <c r="Z13" s="1279" t="s">
        <v>2024</v>
      </c>
      <c r="AA13" s="572"/>
      <c r="AB13" s="597"/>
      <c r="AC13" s="1281"/>
      <c r="AD13" s="1279"/>
      <c r="AE13" s="450"/>
      <c r="AF13" s="1279" t="s">
        <v>2025</v>
      </c>
      <c r="AG13" s="1309">
        <v>4</v>
      </c>
      <c r="AH13" s="1275">
        <v>4</v>
      </c>
      <c r="AI13" s="1526" t="s">
        <v>2323</v>
      </c>
      <c r="AJ13" s="1293" t="s">
        <v>2020</v>
      </c>
      <c r="AK13" s="1093"/>
      <c r="AL13" s="493"/>
      <c r="AM13" s="568"/>
      <c r="AN13" s="568"/>
      <c r="AO13" s="563" t="s">
        <v>2027</v>
      </c>
      <c r="AP13" s="568"/>
      <c r="AQ13" s="715"/>
      <c r="AR13" s="588"/>
      <c r="AS13" s="493"/>
      <c r="AT13" s="493"/>
      <c r="AU13" s="493"/>
      <c r="AV13" s="493"/>
      <c r="AW13" s="493"/>
      <c r="AX13" s="493"/>
      <c r="AY13" s="493"/>
      <c r="AZ13" s="493"/>
      <c r="BA13" s="493"/>
      <c r="BB13" s="493"/>
      <c r="BC13" s="493"/>
      <c r="BD13" s="493"/>
      <c r="BE13" s="1099"/>
      <c r="BF13" s="885"/>
      <c r="BG13" s="752"/>
      <c r="BH13" s="815"/>
      <c r="BI13" s="1432">
        <v>4</v>
      </c>
      <c r="BJ13" s="823"/>
      <c r="BK13" s="1316"/>
      <c r="BL13" s="1323"/>
    </row>
    <row r="14" spans="1:65" ht="125.15" customHeight="1" thickBot="1" x14ac:dyDescent="0.4">
      <c r="A14" s="1460"/>
      <c r="B14" s="1359"/>
      <c r="C14" s="1282"/>
      <c r="D14" s="1282"/>
      <c r="E14" s="1471"/>
      <c r="F14" s="1313" t="s">
        <v>2015</v>
      </c>
      <c r="G14" s="1314"/>
      <c r="H14" s="1314"/>
      <c r="I14" s="1314"/>
      <c r="J14" s="1314"/>
      <c r="K14" s="1314"/>
      <c r="L14" s="1314"/>
      <c r="M14" s="1314"/>
      <c r="N14" s="1315"/>
      <c r="O14" s="1282"/>
      <c r="P14" s="1282"/>
      <c r="Q14" s="465">
        <f>((1100000-420000)/2+420000)+((500000-220000)/2+220000)+((500000-220000)/2+220000)+((1000000-410000)/2+410000)+((1100000-420000)/2+420000)+((1000000-410000)/2+410000)+((500000-220000)/2+220000)</f>
        <v>4010000</v>
      </c>
      <c r="R14" s="465">
        <v>4483156</v>
      </c>
      <c r="S14" s="1270"/>
      <c r="T14" s="1308"/>
      <c r="U14" s="328"/>
      <c r="V14" s="1270"/>
      <c r="W14" s="607">
        <f>Q14</f>
        <v>4010000</v>
      </c>
      <c r="X14" s="608">
        <f>((1100000-420000)/2+420000)+(((500000-220000)/2+220000)/2)+(((500000-220000)/2+220000)/2)+(((1000000-410000)/2+410000)/2)+(((1100000-420000)/2+420000)/2)+((1000000-410000)/2+410000)+((500000-220000)/2+220000)</f>
        <v>2917500</v>
      </c>
      <c r="Y14" s="1282"/>
      <c r="Z14" s="1308"/>
      <c r="AA14" s="613">
        <f>W14-X14</f>
        <v>1092500</v>
      </c>
      <c r="AB14" s="611"/>
      <c r="AC14" s="1282"/>
      <c r="AD14" s="1308"/>
      <c r="AE14" s="486">
        <f>AA14</f>
        <v>1092500</v>
      </c>
      <c r="AF14" s="1308"/>
      <c r="AG14" s="1310"/>
      <c r="AH14" s="1276"/>
      <c r="AI14" s="1527"/>
      <c r="AJ14" s="1295"/>
      <c r="AK14" s="629"/>
      <c r="AL14" s="629"/>
      <c r="AM14" s="664">
        <f>AM4/(AM4+AN4)*((1100000-420000)/2+420000)</f>
        <v>589850.74626865669</v>
      </c>
      <c r="AN14" s="664">
        <f>AN4/(AM4+AN4)*((1100000-420000)/2+420000)</f>
        <v>170149.25373134328</v>
      </c>
      <c r="AO14" s="563"/>
      <c r="AP14" s="664">
        <f>((((500000-220000)/2+220000)/2)/2)+((1000000-410000)/2+410000)</f>
        <v>795000</v>
      </c>
      <c r="AQ14" s="694">
        <f>((((500000-220000)/2+220000)/2)/2)+(((500000-220000)/2+220000)/2)+(((1000000-410000)/2+410000)/2)+(((1100000-420000)/2+420000)/2)</f>
        <v>1002500</v>
      </c>
      <c r="AR14" s="608">
        <f>((500000-220000)/2+220000)</f>
        <v>360000</v>
      </c>
      <c r="AS14" s="477"/>
      <c r="AT14" s="477"/>
      <c r="AU14" s="477"/>
      <c r="AV14" s="477"/>
      <c r="AW14" s="477"/>
      <c r="AX14" s="477"/>
      <c r="AY14" s="477"/>
      <c r="AZ14" s="477"/>
      <c r="BA14" s="477"/>
      <c r="BB14" s="477"/>
      <c r="BC14" s="477"/>
      <c r="BD14" s="477"/>
      <c r="BE14" s="488"/>
      <c r="BF14" s="902"/>
      <c r="BG14" s="753"/>
      <c r="BH14" s="817"/>
      <c r="BI14" s="1433"/>
      <c r="BJ14" s="823"/>
      <c r="BK14" s="1317"/>
      <c r="BL14" s="1324"/>
    </row>
    <row r="15" spans="1:65" ht="99.9" customHeight="1" thickTop="1" x14ac:dyDescent="0.35">
      <c r="A15" s="1076"/>
      <c r="B15" s="1368"/>
      <c r="C15" s="1370" t="s">
        <v>2003</v>
      </c>
      <c r="D15" s="1347"/>
      <c r="E15" s="1347"/>
      <c r="F15" s="1347"/>
      <c r="G15" s="1347"/>
      <c r="H15" s="1347"/>
      <c r="I15" s="1347"/>
      <c r="J15" s="1347"/>
      <c r="K15" s="1347"/>
      <c r="L15" s="1347"/>
      <c r="M15" s="1347"/>
      <c r="N15" s="1347"/>
      <c r="O15" s="1347"/>
      <c r="P15" s="1347"/>
      <c r="Q15" s="1349" t="s">
        <v>1</v>
      </c>
      <c r="R15" s="1446" t="s">
        <v>2201</v>
      </c>
      <c r="S15" s="1337"/>
      <c r="T15" s="1337"/>
      <c r="U15" s="1351" t="s">
        <v>2</v>
      </c>
      <c r="V15" s="1337"/>
      <c r="W15" s="1528" t="s">
        <v>1898</v>
      </c>
      <c r="X15" s="1584" t="s">
        <v>1267</v>
      </c>
      <c r="Y15" s="1335"/>
      <c r="Z15" s="1585"/>
      <c r="AA15" s="1542" t="s">
        <v>506</v>
      </c>
      <c r="AB15" s="1584" t="s">
        <v>1740</v>
      </c>
      <c r="AC15" s="1335"/>
      <c r="AD15" s="1337"/>
      <c r="AE15" s="1501" t="s">
        <v>508</v>
      </c>
      <c r="AF15" s="1335"/>
      <c r="AG15" s="813"/>
      <c r="AH15" s="814"/>
      <c r="AI15" s="1335"/>
      <c r="AJ15" s="1370" t="s">
        <v>2003</v>
      </c>
      <c r="AK15" s="979" t="s">
        <v>2234</v>
      </c>
      <c r="AL15" s="977" t="s">
        <v>2235</v>
      </c>
      <c r="AM15" s="977" t="s">
        <v>2236</v>
      </c>
      <c r="AN15" s="977" t="s">
        <v>2237</v>
      </c>
      <c r="AO15" s="977" t="s">
        <v>2238</v>
      </c>
      <c r="AP15" s="977" t="s">
        <v>2239</v>
      </c>
      <c r="AQ15" s="978" t="s">
        <v>2240</v>
      </c>
      <c r="AR15" s="979" t="s">
        <v>2241</v>
      </c>
      <c r="AS15" s="977" t="s">
        <v>2242</v>
      </c>
      <c r="AT15" s="977" t="s">
        <v>2243</v>
      </c>
      <c r="AU15" s="977" t="s">
        <v>2244</v>
      </c>
      <c r="AV15" s="977" t="s">
        <v>2245</v>
      </c>
      <c r="AW15" s="977" t="s">
        <v>2246</v>
      </c>
      <c r="AX15" s="977" t="s">
        <v>2247</v>
      </c>
      <c r="AY15" s="977" t="s">
        <v>2248</v>
      </c>
      <c r="AZ15" s="977" t="s">
        <v>2249</v>
      </c>
      <c r="BA15" s="977" t="s">
        <v>2250</v>
      </c>
      <c r="BB15" s="977" t="s">
        <v>2251</v>
      </c>
      <c r="BC15" s="977" t="s">
        <v>2252</v>
      </c>
      <c r="BD15" s="977" t="s">
        <v>2253</v>
      </c>
      <c r="BE15" s="1209" t="s">
        <v>2254</v>
      </c>
      <c r="BF15" s="1208" t="s">
        <v>2255</v>
      </c>
      <c r="BG15" s="1343" t="s">
        <v>41</v>
      </c>
      <c r="BH15" s="1506" t="s">
        <v>42</v>
      </c>
      <c r="BI15" s="868"/>
      <c r="BJ15" s="823"/>
      <c r="BK15" s="1316"/>
      <c r="BL15" s="1316"/>
    </row>
    <row r="16" spans="1:65" s="793" customFormat="1" ht="50.15" customHeight="1" x14ac:dyDescent="0.35">
      <c r="A16" s="1105"/>
      <c r="B16" s="1369"/>
      <c r="C16" s="1371"/>
      <c r="D16" s="1348"/>
      <c r="E16" s="1348"/>
      <c r="F16" s="454"/>
      <c r="G16" s="454"/>
      <c r="H16" s="454"/>
      <c r="I16" s="454"/>
      <c r="J16" s="454"/>
      <c r="K16" s="454"/>
      <c r="L16" s="454"/>
      <c r="M16" s="454"/>
      <c r="N16" s="454"/>
      <c r="O16" s="1348"/>
      <c r="P16" s="1348"/>
      <c r="Q16" s="1350"/>
      <c r="R16" s="1447"/>
      <c r="S16" s="1338"/>
      <c r="T16" s="1338"/>
      <c r="U16" s="1352"/>
      <c r="V16" s="1338"/>
      <c r="W16" s="1529"/>
      <c r="X16" s="1539"/>
      <c r="Y16" s="1336"/>
      <c r="Z16" s="1586"/>
      <c r="AA16" s="1543"/>
      <c r="AB16" s="1539"/>
      <c r="AC16" s="1336"/>
      <c r="AD16" s="1338"/>
      <c r="AE16" s="1502"/>
      <c r="AF16" s="1336"/>
      <c r="AG16" s="781"/>
      <c r="AH16" s="782"/>
      <c r="AI16" s="1336"/>
      <c r="AJ16" s="1371"/>
      <c r="AK16" s="987">
        <v>8500</v>
      </c>
      <c r="AL16" s="982">
        <v>1500</v>
      </c>
      <c r="AM16" s="982">
        <v>2600</v>
      </c>
      <c r="AN16" s="983">
        <v>750</v>
      </c>
      <c r="AO16" s="983" t="s">
        <v>48</v>
      </c>
      <c r="AP16" s="982">
        <v>2100</v>
      </c>
      <c r="AQ16" s="984">
        <v>1050</v>
      </c>
      <c r="AR16" s="985">
        <v>550</v>
      </c>
      <c r="AS16" s="983">
        <v>70</v>
      </c>
      <c r="AT16" s="983">
        <v>30</v>
      </c>
      <c r="AU16" s="983">
        <v>35</v>
      </c>
      <c r="AV16" s="983">
        <v>35</v>
      </c>
      <c r="AW16" s="983">
        <v>20</v>
      </c>
      <c r="AX16" s="983">
        <v>16</v>
      </c>
      <c r="AY16" s="983">
        <v>15</v>
      </c>
      <c r="AZ16" s="983">
        <v>13</v>
      </c>
      <c r="BA16" s="983">
        <v>10</v>
      </c>
      <c r="BB16" s="983">
        <v>10</v>
      </c>
      <c r="BC16" s="983">
        <v>10</v>
      </c>
      <c r="BD16" s="983">
        <v>10</v>
      </c>
      <c r="BE16" s="1213">
        <v>10</v>
      </c>
      <c r="BF16" s="1210">
        <v>2120</v>
      </c>
      <c r="BG16" s="1344"/>
      <c r="BH16" s="1507"/>
      <c r="BI16" s="1074"/>
      <c r="BJ16" s="823"/>
      <c r="BK16" s="1317"/>
      <c r="BL16" s="1317"/>
    </row>
    <row r="17" spans="1:64" ht="17.25" customHeight="1" thickBot="1" x14ac:dyDescent="0.4">
      <c r="A17" s="1077"/>
      <c r="B17" s="988"/>
      <c r="C17" s="573"/>
      <c r="D17" s="573"/>
      <c r="E17" s="574"/>
      <c r="F17" s="574"/>
      <c r="G17" s="574"/>
      <c r="H17" s="574"/>
      <c r="I17" s="574"/>
      <c r="J17" s="574"/>
      <c r="K17" s="574"/>
      <c r="L17" s="574"/>
      <c r="M17" s="574"/>
      <c r="N17" s="578"/>
      <c r="O17" s="574"/>
      <c r="P17" s="573"/>
      <c r="Q17" s="575"/>
      <c r="R17" s="575"/>
      <c r="S17" s="577"/>
      <c r="T17" s="576"/>
      <c r="U17" s="575"/>
      <c r="V17" s="575"/>
      <c r="W17" s="581"/>
      <c r="X17" s="609"/>
      <c r="Y17" s="578"/>
      <c r="Z17" s="576"/>
      <c r="AA17" s="581"/>
      <c r="AB17" s="609"/>
      <c r="AC17" s="578"/>
      <c r="AD17" s="576"/>
      <c r="AE17" s="579"/>
      <c r="AF17" s="1228"/>
      <c r="AG17" s="798"/>
      <c r="AH17" s="770"/>
      <c r="AI17" s="1222"/>
      <c r="AJ17" s="580"/>
      <c r="AK17" s="1223"/>
      <c r="AL17" s="1216"/>
      <c r="AM17" s="1217"/>
      <c r="AN17" s="1216"/>
      <c r="AO17" s="1216"/>
      <c r="AP17" s="1216"/>
      <c r="AQ17" s="1217"/>
      <c r="AR17" s="1215"/>
      <c r="AS17" s="1216"/>
      <c r="AT17" s="1216"/>
      <c r="AU17" s="1216"/>
      <c r="AV17" s="1216"/>
      <c r="AW17" s="1216"/>
      <c r="AX17" s="1216"/>
      <c r="AY17" s="1216"/>
      <c r="AZ17" s="1216"/>
      <c r="BA17" s="1216"/>
      <c r="BB17" s="1216"/>
      <c r="BC17" s="1216"/>
      <c r="BD17" s="1216"/>
      <c r="BE17" s="1217"/>
      <c r="BF17" s="1215"/>
      <c r="BG17" s="573"/>
      <c r="BH17" s="580"/>
      <c r="BJ17" s="823"/>
      <c r="BK17" s="807"/>
      <c r="BL17" s="807"/>
    </row>
    <row r="18" spans="1:64" s="1012" customFormat="1" ht="19" thickTop="1" x14ac:dyDescent="0.35">
      <c r="A18" s="821">
        <v>5</v>
      </c>
      <c r="B18" s="1000"/>
      <c r="C18" s="1000"/>
      <c r="D18" s="1000"/>
      <c r="E18" s="1001" t="s">
        <v>2209</v>
      </c>
      <c r="F18" s="1002"/>
      <c r="G18" s="1002"/>
      <c r="H18" s="1002"/>
      <c r="I18" s="1002"/>
      <c r="J18" s="1002"/>
      <c r="K18" s="1002"/>
      <c r="L18" s="1002"/>
      <c r="M18" s="1002"/>
      <c r="N18" s="1002"/>
      <c r="O18" s="1003"/>
      <c r="P18" s="1002"/>
      <c r="Q18" s="1004">
        <f>Q7+Q10+Q12+Q14</f>
        <v>16010000</v>
      </c>
      <c r="R18" s="1004">
        <f>R7+R10+R12+R14</f>
        <v>17899085</v>
      </c>
      <c r="S18" s="1005"/>
      <c r="T18" s="1005"/>
      <c r="U18" s="1006"/>
      <c r="V18" s="1005"/>
      <c r="W18" s="1009"/>
      <c r="X18" s="1006"/>
      <c r="Y18" s="1010"/>
      <c r="Z18" s="1005"/>
      <c r="AA18" s="1009"/>
      <c r="AB18" s="1006"/>
      <c r="AC18" s="1010"/>
      <c r="AD18" s="1005"/>
      <c r="AE18" s="1009"/>
      <c r="AF18" s="1011"/>
      <c r="AG18" s="821">
        <v>5</v>
      </c>
      <c r="AH18" s="758"/>
      <c r="AI18" s="1011"/>
      <c r="AJ18" s="1011"/>
      <c r="AK18" s="1006"/>
      <c r="AL18" s="1007"/>
      <c r="AM18" s="1007"/>
      <c r="AN18" s="1007"/>
      <c r="AO18" s="1007"/>
      <c r="AP18" s="1007"/>
      <c r="AQ18" s="1007"/>
      <c r="AR18" s="1007"/>
      <c r="AS18" s="1007"/>
      <c r="AT18" s="1007"/>
      <c r="AU18" s="1007"/>
      <c r="AV18" s="1007"/>
      <c r="AW18" s="1007"/>
      <c r="AX18" s="1007"/>
      <c r="AY18" s="1007"/>
      <c r="AZ18" s="1007"/>
      <c r="BA18" s="1007"/>
      <c r="BB18" s="1007"/>
      <c r="BC18" s="1007"/>
      <c r="BD18" s="1007"/>
      <c r="BE18" s="1011"/>
      <c r="BF18" s="1229"/>
      <c r="BG18" s="1007"/>
      <c r="BH18" s="1007"/>
      <c r="BI18" s="758"/>
      <c r="BJ18" s="860"/>
      <c r="BK18" s="1325"/>
      <c r="BL18" s="1409"/>
    </row>
    <row r="19" spans="1:64" s="1012" customFormat="1" ht="18.5" x14ac:dyDescent="0.35">
      <c r="A19" s="821">
        <v>6</v>
      </c>
      <c r="B19" s="1013"/>
      <c r="C19" s="1014"/>
      <c r="D19" s="1014"/>
      <c r="E19" s="1015" t="s">
        <v>2028</v>
      </c>
      <c r="F19" s="1016"/>
      <c r="G19" s="1016"/>
      <c r="H19" s="1016"/>
      <c r="I19" s="1016"/>
      <c r="J19" s="1016"/>
      <c r="K19" s="1016"/>
      <c r="L19" s="1016"/>
      <c r="M19" s="1016"/>
      <c r="N19" s="1016"/>
      <c r="O19" s="1017"/>
      <c r="P19" s="1018"/>
      <c r="Q19" s="1016"/>
      <c r="R19" s="1016"/>
      <c r="S19" s="1018"/>
      <c r="T19" s="1018"/>
      <c r="U19" s="1019">
        <f>U7+U10+U12+U14</f>
        <v>341482</v>
      </c>
      <c r="V19" s="1020"/>
      <c r="W19" s="1113"/>
      <c r="X19" s="1113"/>
      <c r="Y19" s="1022"/>
      <c r="AA19" s="1023"/>
      <c r="AB19" s="1113"/>
      <c r="AC19" s="1022"/>
      <c r="AE19" s="1023"/>
      <c r="AG19" s="821">
        <v>6</v>
      </c>
      <c r="AH19" s="758"/>
      <c r="AJ19" s="1024"/>
      <c r="AK19" s="1023"/>
      <c r="AL19" s="1025"/>
      <c r="AM19" s="1025"/>
      <c r="AN19" s="1025"/>
      <c r="AO19" s="1025"/>
      <c r="AP19" s="1025"/>
      <c r="AQ19" s="1025"/>
      <c r="AR19" s="1025"/>
      <c r="AS19" s="1025"/>
      <c r="AT19" s="1025"/>
      <c r="AU19" s="1025"/>
      <c r="AV19" s="1025"/>
      <c r="AW19" s="1025"/>
      <c r="AX19" s="1025"/>
      <c r="AY19" s="1025"/>
      <c r="AZ19" s="1025"/>
      <c r="BA19" s="1025"/>
      <c r="BB19" s="1025"/>
      <c r="BC19" s="1025"/>
      <c r="BD19" s="1025"/>
      <c r="BF19" s="1025"/>
      <c r="BG19" s="1025"/>
      <c r="BH19" s="1025"/>
      <c r="BI19" s="758"/>
      <c r="BJ19" s="791"/>
      <c r="BK19" s="1325"/>
      <c r="BL19" s="1409"/>
    </row>
    <row r="20" spans="1:64" s="1012" customFormat="1" ht="18.5" x14ac:dyDescent="0.35">
      <c r="A20" s="821">
        <v>7</v>
      </c>
      <c r="B20" s="1026"/>
      <c r="C20" s="1026"/>
      <c r="D20" s="1026"/>
      <c r="E20" s="1027" t="s">
        <v>860</v>
      </c>
      <c r="F20" s="1028"/>
      <c r="G20" s="1028"/>
      <c r="H20" s="1028"/>
      <c r="I20" s="1028"/>
      <c r="J20" s="1028"/>
      <c r="K20" s="1028"/>
      <c r="L20" s="1028"/>
      <c r="M20" s="1028"/>
      <c r="N20" s="1028"/>
      <c r="O20" s="1029"/>
      <c r="P20" s="1030"/>
      <c r="Q20" s="1028"/>
      <c r="R20" s="1028"/>
      <c r="S20" s="1030"/>
      <c r="T20" s="1030"/>
      <c r="U20" s="1028"/>
      <c r="V20" s="1028"/>
      <c r="W20" s="1114">
        <f>W7+W10+W12+W14</f>
        <v>15668518</v>
      </c>
      <c r="X20" s="1115"/>
      <c r="Y20" s="1034"/>
      <c r="Z20" s="1033"/>
      <c r="AA20" s="1114">
        <f>AA7+AA10+AA12+AA14</f>
        <v>12751018</v>
      </c>
      <c r="AB20" s="1115"/>
      <c r="AC20" s="1034"/>
      <c r="AD20" s="1033"/>
      <c r="AE20" s="1114">
        <f>AE7+AE10+AE12+AE14</f>
        <v>12751018</v>
      </c>
      <c r="AF20" s="1011"/>
      <c r="AG20" s="821">
        <v>7</v>
      </c>
      <c r="AH20" s="881"/>
      <c r="AI20" s="1011"/>
      <c r="AJ20" s="1011"/>
      <c r="AK20" s="1006"/>
      <c r="AL20" s="1007"/>
      <c r="AM20" s="1007"/>
      <c r="AN20" s="1007"/>
      <c r="AO20" s="1007"/>
      <c r="AP20" s="1007"/>
      <c r="AQ20" s="1007"/>
      <c r="AR20" s="1007"/>
      <c r="AS20" s="1007"/>
      <c r="AT20" s="1007"/>
      <c r="AU20" s="1007"/>
      <c r="AV20" s="1007"/>
      <c r="AW20" s="1007"/>
      <c r="AX20" s="1007"/>
      <c r="AY20" s="1007"/>
      <c r="AZ20" s="1007"/>
      <c r="BA20" s="1007"/>
      <c r="BB20" s="1007"/>
      <c r="BC20" s="1007"/>
      <c r="BD20" s="1007"/>
      <c r="BE20" s="1011"/>
      <c r="BF20" s="1007"/>
      <c r="BG20" s="1007"/>
      <c r="BH20" s="1007"/>
      <c r="BI20" s="881"/>
      <c r="BJ20" s="823"/>
      <c r="BK20" s="1325"/>
      <c r="BL20" s="1409"/>
    </row>
    <row r="21" spans="1:64" s="1012" customFormat="1" ht="18.5" x14ac:dyDescent="0.35">
      <c r="A21" s="821">
        <v>8</v>
      </c>
      <c r="B21" s="1036"/>
      <c r="C21" s="1036"/>
      <c r="D21" s="1036"/>
      <c r="E21" s="1037" t="s">
        <v>861</v>
      </c>
      <c r="F21" s="1038"/>
      <c r="G21" s="1038"/>
      <c r="H21" s="1038"/>
      <c r="I21" s="1038"/>
      <c r="J21" s="1038"/>
      <c r="K21" s="1038"/>
      <c r="L21" s="1038"/>
      <c r="M21" s="1038"/>
      <c r="N21" s="1038"/>
      <c r="O21" s="1039"/>
      <c r="P21" s="1040"/>
      <c r="Q21" s="1038"/>
      <c r="R21" s="1038"/>
      <c r="S21" s="1040"/>
      <c r="T21" s="1040"/>
      <c r="U21" s="1038"/>
      <c r="V21" s="1038"/>
      <c r="W21" s="1038"/>
      <c r="X21" s="1041">
        <f>X7+X10+X12+X14</f>
        <v>2917500</v>
      </c>
      <c r="Y21" s="1230"/>
      <c r="Z21" s="1043"/>
      <c r="AA21" s="1168"/>
      <c r="AB21" s="1231">
        <f>AB7+AB10+AB12+AB14</f>
        <v>0</v>
      </c>
      <c r="AC21" s="1232"/>
      <c r="AD21" s="1116"/>
      <c r="AE21" s="1116"/>
      <c r="AG21" s="821">
        <v>8</v>
      </c>
      <c r="AH21" s="821">
        <v>8</v>
      </c>
      <c r="AI21" s="1036"/>
      <c r="AJ21" s="1037" t="s">
        <v>862</v>
      </c>
      <c r="AK21" s="1117">
        <f t="shared" ref="AK21:BH21" si="0">AK7+AK10+AK12+AK14</f>
        <v>0</v>
      </c>
      <c r="AL21" s="1233">
        <f t="shared" si="0"/>
        <v>0</v>
      </c>
      <c r="AM21" s="1233">
        <f t="shared" si="0"/>
        <v>589850.74626865669</v>
      </c>
      <c r="AN21" s="1233">
        <f t="shared" si="0"/>
        <v>170149.25373134328</v>
      </c>
      <c r="AO21" s="1234">
        <f t="shared" si="0"/>
        <v>0</v>
      </c>
      <c r="AP21" s="1233">
        <f t="shared" si="0"/>
        <v>795000</v>
      </c>
      <c r="AQ21" s="1233">
        <f t="shared" si="0"/>
        <v>1002500</v>
      </c>
      <c r="AR21" s="1233">
        <f t="shared" si="0"/>
        <v>360000</v>
      </c>
      <c r="AS21" s="1233">
        <f t="shared" si="0"/>
        <v>0</v>
      </c>
      <c r="AT21" s="1233">
        <f t="shared" si="0"/>
        <v>0</v>
      </c>
      <c r="AU21" s="1233">
        <f t="shared" si="0"/>
        <v>0</v>
      </c>
      <c r="AV21" s="1233">
        <f t="shared" si="0"/>
        <v>0</v>
      </c>
      <c r="AW21" s="1233">
        <f t="shared" si="0"/>
        <v>0</v>
      </c>
      <c r="AX21" s="1233">
        <f t="shared" si="0"/>
        <v>0</v>
      </c>
      <c r="AY21" s="1233">
        <f t="shared" si="0"/>
        <v>0</v>
      </c>
      <c r="AZ21" s="1233">
        <f t="shared" si="0"/>
        <v>0</v>
      </c>
      <c r="BA21" s="1233">
        <f t="shared" si="0"/>
        <v>0</v>
      </c>
      <c r="BB21" s="1233">
        <f t="shared" si="0"/>
        <v>0</v>
      </c>
      <c r="BC21" s="1233">
        <f t="shared" si="0"/>
        <v>0</v>
      </c>
      <c r="BD21" s="1233">
        <f t="shared" si="0"/>
        <v>0</v>
      </c>
      <c r="BE21" s="1235">
        <f t="shared" si="0"/>
        <v>0</v>
      </c>
      <c r="BF21" s="1233">
        <f t="shared" si="0"/>
        <v>0</v>
      </c>
      <c r="BG21" s="1233">
        <f t="shared" si="0"/>
        <v>0</v>
      </c>
      <c r="BH21" s="1234">
        <f t="shared" si="0"/>
        <v>0</v>
      </c>
      <c r="BI21" s="821">
        <v>8</v>
      </c>
      <c r="BJ21" s="823"/>
      <c r="BK21" s="1325"/>
      <c r="BL21" s="1409"/>
    </row>
    <row r="22" spans="1:64" s="1012" customFormat="1" ht="15" customHeight="1" x14ac:dyDescent="0.35">
      <c r="A22" s="758"/>
      <c r="B22" s="1072" t="s">
        <v>449</v>
      </c>
      <c r="C22" s="1072" t="s">
        <v>450</v>
      </c>
      <c r="D22" s="1072" t="s">
        <v>451</v>
      </c>
      <c r="E22" s="1072" t="s">
        <v>452</v>
      </c>
      <c r="F22" s="1464" t="s">
        <v>453</v>
      </c>
      <c r="G22" s="1464"/>
      <c r="H22" s="1464"/>
      <c r="I22" s="1464"/>
      <c r="J22" s="1464"/>
      <c r="K22" s="1464"/>
      <c r="L22" s="1464"/>
      <c r="M22" s="1464"/>
      <c r="N22" s="1464"/>
      <c r="O22" s="1072" t="s">
        <v>454</v>
      </c>
      <c r="P22" s="1072" t="s">
        <v>455</v>
      </c>
      <c r="Q22" s="1072" t="s">
        <v>456</v>
      </c>
      <c r="R22" s="1072"/>
      <c r="S22" s="1072" t="s">
        <v>457</v>
      </c>
      <c r="T22" s="1072" t="s">
        <v>458</v>
      </c>
      <c r="U22" s="1072" t="s">
        <v>459</v>
      </c>
      <c r="V22" s="1072" t="s">
        <v>460</v>
      </c>
      <c r="W22" s="1072" t="s">
        <v>461</v>
      </c>
      <c r="X22" s="1072" t="s">
        <v>242</v>
      </c>
      <c r="Y22" s="1072" t="s">
        <v>462</v>
      </c>
      <c r="Z22" s="1072" t="s">
        <v>463</v>
      </c>
      <c r="AA22" s="1072" t="s">
        <v>464</v>
      </c>
      <c r="AB22" s="1072" t="s">
        <v>465</v>
      </c>
      <c r="AC22" s="1072" t="s">
        <v>466</v>
      </c>
      <c r="AD22" s="1072" t="s">
        <v>467</v>
      </c>
      <c r="AE22" s="1072" t="s">
        <v>468</v>
      </c>
      <c r="AF22" s="1072" t="s">
        <v>469</v>
      </c>
      <c r="AG22" s="758"/>
      <c r="AH22" s="758"/>
      <c r="AI22" s="1072" t="s">
        <v>449</v>
      </c>
      <c r="AJ22" s="1072" t="s">
        <v>450</v>
      </c>
      <c r="AK22" s="1072" t="s">
        <v>471</v>
      </c>
      <c r="AL22" s="1072" t="s">
        <v>472</v>
      </c>
      <c r="AM22" s="1072" t="s">
        <v>473</v>
      </c>
      <c r="AN22" s="1072" t="s">
        <v>474</v>
      </c>
      <c r="AO22" s="1072" t="s">
        <v>475</v>
      </c>
      <c r="AP22" s="1072" t="s">
        <v>476</v>
      </c>
      <c r="AQ22" s="1072" t="s">
        <v>477</v>
      </c>
      <c r="AR22" s="1072" t="s">
        <v>478</v>
      </c>
      <c r="AS22" s="1072" t="s">
        <v>479</v>
      </c>
      <c r="AT22" s="1072" t="s">
        <v>480</v>
      </c>
      <c r="AU22" s="1072" t="s">
        <v>481</v>
      </c>
      <c r="AV22" s="1072" t="s">
        <v>482</v>
      </c>
      <c r="AW22" s="1072" t="s">
        <v>483</v>
      </c>
      <c r="AX22" s="1072" t="s">
        <v>484</v>
      </c>
      <c r="AY22" s="1072" t="s">
        <v>485</v>
      </c>
      <c r="AZ22" s="1072" t="s">
        <v>486</v>
      </c>
      <c r="BA22" s="1072" t="s">
        <v>487</v>
      </c>
      <c r="BB22" s="1072" t="s">
        <v>488</v>
      </c>
      <c r="BC22" s="1072" t="s">
        <v>489</v>
      </c>
      <c r="BD22" s="1072" t="s">
        <v>490</v>
      </c>
      <c r="BE22" s="1072" t="s">
        <v>491</v>
      </c>
      <c r="BF22" s="1072" t="s">
        <v>492</v>
      </c>
      <c r="BG22" s="1072" t="s">
        <v>493</v>
      </c>
      <c r="BH22" s="1072" t="s">
        <v>494</v>
      </c>
      <c r="BI22" s="758"/>
      <c r="BJ22" s="889"/>
      <c r="BK22" s="1325"/>
      <c r="BL22" s="1409"/>
    </row>
    <row r="23" spans="1:64" s="1012" customFormat="1" ht="18.5" x14ac:dyDescent="0.35">
      <c r="A23" s="758"/>
      <c r="E23" s="1020"/>
      <c r="F23" s="1020"/>
      <c r="G23" s="1020"/>
      <c r="H23" s="1020"/>
      <c r="I23" s="1020"/>
      <c r="J23" s="1020"/>
      <c r="K23" s="1020"/>
      <c r="L23" s="1020"/>
      <c r="M23" s="1020"/>
      <c r="N23" s="1020"/>
      <c r="O23" s="1020"/>
      <c r="Q23" s="1020"/>
      <c r="R23" s="1020"/>
      <c r="U23" s="1020"/>
      <c r="V23" s="1020"/>
      <c r="W23" s="1020"/>
      <c r="X23" s="1020"/>
      <c r="Y23" s="1020"/>
      <c r="AB23" s="1020"/>
      <c r="AC23" s="1020"/>
      <c r="AG23" s="758"/>
      <c r="AH23" s="758"/>
      <c r="BI23" s="758"/>
      <c r="BK23" s="761"/>
      <c r="BL23" s="1219"/>
    </row>
    <row r="24" spans="1:64" x14ac:dyDescent="0.35">
      <c r="AK24" s="928"/>
      <c r="AL24" s="1060"/>
      <c r="AM24" s="928"/>
      <c r="AN24" s="928"/>
      <c r="AO24" s="928"/>
      <c r="AP24" s="928"/>
      <c r="AQ24" s="928"/>
      <c r="AR24" s="928"/>
      <c r="AS24" s="928"/>
      <c r="AT24" s="928"/>
      <c r="AU24" s="928"/>
      <c r="AV24" s="928"/>
      <c r="AW24" s="928"/>
      <c r="AX24" s="928"/>
      <c r="AY24" s="928"/>
      <c r="AZ24" s="928"/>
      <c r="BA24" s="928"/>
      <c r="BB24" s="928"/>
      <c r="BC24" s="928"/>
      <c r="BD24" s="928"/>
      <c r="BE24" s="928"/>
      <c r="BF24" s="1060"/>
      <c r="BK24" s="1556"/>
      <c r="BL24" s="1556"/>
    </row>
    <row r="25" spans="1:64" x14ac:dyDescent="0.35">
      <c r="AK25" s="928"/>
      <c r="AL25" s="1060"/>
      <c r="AM25" s="928"/>
      <c r="AN25" s="928"/>
      <c r="AO25" s="928"/>
      <c r="AP25" s="928"/>
      <c r="AQ25" s="928"/>
      <c r="AR25" s="928"/>
      <c r="AS25" s="928"/>
      <c r="AT25" s="928"/>
      <c r="AU25" s="928"/>
      <c r="AV25" s="928"/>
      <c r="AW25" s="928"/>
      <c r="AX25" s="928"/>
      <c r="AY25" s="928"/>
      <c r="AZ25" s="928"/>
      <c r="BA25" s="928"/>
      <c r="BB25" s="928"/>
      <c r="BC25" s="928"/>
      <c r="BD25" s="928"/>
      <c r="BE25" s="928"/>
      <c r="BF25" s="1060"/>
      <c r="BK25" s="1556"/>
      <c r="BL25" s="1556"/>
    </row>
    <row r="26" spans="1:64" x14ac:dyDescent="0.35">
      <c r="AK26" s="928"/>
      <c r="AL26" s="1060"/>
      <c r="AM26" s="928"/>
      <c r="AN26" s="928"/>
      <c r="AO26" s="928"/>
      <c r="AP26" s="928"/>
      <c r="AQ26" s="928"/>
      <c r="AR26" s="928"/>
      <c r="AS26" s="928"/>
      <c r="AT26" s="928"/>
      <c r="AU26" s="928"/>
      <c r="AV26" s="928"/>
      <c r="AW26" s="928"/>
      <c r="AX26" s="928"/>
      <c r="AY26" s="928"/>
      <c r="AZ26" s="928"/>
      <c r="BA26" s="928"/>
      <c r="BB26" s="928"/>
      <c r="BC26" s="928"/>
      <c r="BD26" s="928"/>
      <c r="BE26" s="928"/>
      <c r="BF26" s="1060"/>
    </row>
    <row r="27" spans="1:64" x14ac:dyDescent="0.35">
      <c r="AK27" s="928"/>
      <c r="AL27" s="1060"/>
      <c r="AM27" s="928"/>
      <c r="AN27" s="928"/>
      <c r="AO27" s="928"/>
      <c r="AP27" s="928"/>
      <c r="AQ27" s="928"/>
      <c r="AR27" s="928"/>
      <c r="AS27" s="928"/>
      <c r="AT27" s="928"/>
      <c r="AU27" s="928"/>
      <c r="AV27" s="928"/>
      <c r="AW27" s="928"/>
      <c r="AX27" s="928"/>
      <c r="AY27" s="928"/>
      <c r="AZ27" s="928"/>
      <c r="BA27" s="928"/>
      <c r="BB27" s="928"/>
      <c r="BC27" s="928"/>
      <c r="BD27" s="928"/>
      <c r="BE27" s="928"/>
      <c r="BF27" s="1060"/>
      <c r="BK27" s="1556"/>
      <c r="BL27" s="1556"/>
    </row>
    <row r="28" spans="1:64" x14ac:dyDescent="0.35">
      <c r="AK28" s="928"/>
      <c r="AL28" s="1060"/>
      <c r="AM28" s="928"/>
      <c r="AN28" s="928"/>
      <c r="AO28" s="928"/>
      <c r="AP28" s="928"/>
      <c r="AQ28" s="928"/>
      <c r="AR28" s="928"/>
      <c r="AS28" s="928"/>
      <c r="AT28" s="928"/>
      <c r="AU28" s="928"/>
      <c r="AV28" s="928"/>
      <c r="AW28" s="928"/>
      <c r="AX28" s="928"/>
      <c r="AY28" s="928"/>
      <c r="AZ28" s="928"/>
      <c r="BA28" s="928"/>
      <c r="BB28" s="928"/>
      <c r="BC28" s="928"/>
      <c r="BD28" s="928"/>
      <c r="BE28" s="928"/>
      <c r="BF28" s="1060"/>
      <c r="BK28" s="1556"/>
      <c r="BL28" s="1556"/>
    </row>
    <row r="29" spans="1:64" x14ac:dyDescent="0.35">
      <c r="AK29" s="928"/>
      <c r="AL29" s="1060"/>
      <c r="AM29" s="928"/>
      <c r="AN29" s="928"/>
      <c r="AO29" s="928"/>
      <c r="AP29" s="928"/>
      <c r="AQ29" s="928"/>
      <c r="AR29" s="928"/>
      <c r="AS29" s="928"/>
      <c r="AT29" s="928"/>
      <c r="AU29" s="928"/>
      <c r="AV29" s="928"/>
      <c r="AW29" s="928"/>
      <c r="AX29" s="928"/>
      <c r="AY29" s="928"/>
      <c r="AZ29" s="928"/>
      <c r="BA29" s="928"/>
      <c r="BB29" s="928"/>
      <c r="BC29" s="928"/>
      <c r="BD29" s="928"/>
      <c r="BE29" s="928"/>
      <c r="BF29" s="1060"/>
    </row>
    <row r="30" spans="1:64" x14ac:dyDescent="0.35">
      <c r="AK30" s="928"/>
      <c r="AL30" s="1060"/>
      <c r="AM30" s="928"/>
      <c r="AN30" s="928"/>
      <c r="AO30" s="928"/>
      <c r="AP30" s="928"/>
      <c r="AQ30" s="928"/>
      <c r="AR30" s="928"/>
      <c r="AS30" s="928"/>
      <c r="AT30" s="928"/>
      <c r="AU30" s="928"/>
      <c r="AV30" s="928"/>
      <c r="AW30" s="928"/>
      <c r="AX30" s="928"/>
      <c r="AY30" s="928"/>
      <c r="AZ30" s="928"/>
      <c r="BA30" s="928"/>
      <c r="BB30" s="928"/>
      <c r="BC30" s="928"/>
      <c r="BD30" s="928"/>
      <c r="BE30" s="928"/>
      <c r="BF30" s="1060"/>
      <c r="BK30" s="1556"/>
      <c r="BL30" s="1556"/>
    </row>
    <row r="31" spans="1:64" x14ac:dyDescent="0.35">
      <c r="AK31" s="928"/>
      <c r="AL31" s="1060"/>
      <c r="AM31" s="1064"/>
      <c r="AN31" s="1065"/>
      <c r="AO31" s="1064"/>
      <c r="AP31" s="1065"/>
      <c r="AQ31" s="1066"/>
      <c r="AR31" s="928"/>
      <c r="AS31" s="928"/>
      <c r="AT31" s="928"/>
      <c r="AU31" s="928"/>
      <c r="AV31" s="928"/>
      <c r="AW31" s="928"/>
      <c r="AX31" s="928"/>
      <c r="AY31" s="928"/>
      <c r="AZ31" s="928"/>
      <c r="BA31" s="928"/>
      <c r="BB31" s="928"/>
      <c r="BC31" s="928"/>
      <c r="BD31" s="928"/>
      <c r="BE31" s="928"/>
      <c r="BF31" s="1060"/>
      <c r="BK31" s="1556"/>
      <c r="BL31" s="1556"/>
    </row>
    <row r="32" spans="1:64" x14ac:dyDescent="0.35">
      <c r="AK32" s="928"/>
      <c r="AL32" s="1060"/>
      <c r="AM32" s="1066"/>
      <c r="AN32" s="1066"/>
      <c r="AO32" s="1064"/>
      <c r="AP32" s="1066"/>
      <c r="AQ32" s="1066"/>
      <c r="AR32" s="1066"/>
      <c r="AS32" s="928"/>
      <c r="AT32" s="928"/>
      <c r="AU32" s="928"/>
      <c r="AV32" s="928"/>
      <c r="AW32" s="928"/>
      <c r="AX32" s="928"/>
      <c r="AY32" s="928"/>
      <c r="AZ32" s="928"/>
      <c r="BA32" s="928"/>
      <c r="BB32" s="928"/>
      <c r="BC32" s="928"/>
      <c r="BD32" s="928"/>
      <c r="BE32" s="928"/>
      <c r="BF32" s="1060"/>
      <c r="BK32" s="1556"/>
      <c r="BL32" s="1556"/>
    </row>
    <row r="33" spans="17:64" x14ac:dyDescent="0.35">
      <c r="AK33" s="928"/>
      <c r="AL33" s="1060"/>
      <c r="AM33" s="928"/>
      <c r="AN33" s="928"/>
      <c r="AO33" s="928"/>
      <c r="AP33" s="928"/>
      <c r="AQ33" s="928"/>
      <c r="AR33" s="928"/>
      <c r="AS33" s="928"/>
      <c r="AT33" s="928"/>
      <c r="AU33" s="928"/>
      <c r="AV33" s="928"/>
      <c r="AW33" s="928"/>
      <c r="AX33" s="928"/>
      <c r="AY33" s="928"/>
      <c r="AZ33" s="928"/>
      <c r="BA33" s="928"/>
      <c r="BB33" s="928"/>
      <c r="BC33" s="928"/>
      <c r="BD33" s="928"/>
      <c r="BE33" s="928"/>
      <c r="BF33" s="1060"/>
      <c r="BK33" s="1556"/>
      <c r="BL33" s="1556"/>
    </row>
    <row r="34" spans="17:64" x14ac:dyDescent="0.35">
      <c r="AK34" s="928"/>
      <c r="AL34" s="1060"/>
      <c r="AM34" s="928"/>
      <c r="AN34" s="928"/>
      <c r="AO34" s="928"/>
      <c r="AP34" s="928"/>
      <c r="AQ34" s="928"/>
      <c r="AR34" s="928"/>
      <c r="AS34" s="928"/>
      <c r="AT34" s="928"/>
      <c r="AU34" s="928"/>
      <c r="AV34" s="928"/>
      <c r="AW34" s="928"/>
      <c r="AX34" s="928"/>
      <c r="AY34" s="928"/>
      <c r="AZ34" s="928"/>
      <c r="BA34" s="928"/>
      <c r="BB34" s="928"/>
      <c r="BC34" s="928"/>
      <c r="BD34" s="928"/>
      <c r="BE34" s="928"/>
      <c r="BF34" s="1060"/>
      <c r="BK34" s="1556"/>
      <c r="BL34" s="1556"/>
    </row>
    <row r="35" spans="17:64" x14ac:dyDescent="0.35">
      <c r="Q35" s="750"/>
      <c r="R35" s="750"/>
      <c r="AK35" s="928"/>
      <c r="AL35" s="1060"/>
      <c r="AM35" s="928"/>
      <c r="AN35" s="928"/>
      <c r="AO35" s="928"/>
      <c r="AP35" s="928"/>
      <c r="AQ35" s="1066"/>
      <c r="AR35" s="928"/>
      <c r="AS35" s="928"/>
      <c r="AT35" s="928"/>
      <c r="AU35" s="928"/>
      <c r="AV35" s="928"/>
      <c r="AW35" s="928"/>
      <c r="AX35" s="928"/>
      <c r="AY35" s="928"/>
      <c r="AZ35" s="928"/>
      <c r="BA35" s="928"/>
      <c r="BB35" s="928"/>
      <c r="BC35" s="928"/>
      <c r="BD35" s="928"/>
      <c r="BE35" s="928"/>
      <c r="BF35" s="1060"/>
      <c r="BK35" s="1556"/>
      <c r="BL35" s="1556"/>
    </row>
    <row r="36" spans="17:64" x14ac:dyDescent="0.35">
      <c r="AK36" s="928"/>
      <c r="AL36" s="1060"/>
      <c r="AM36" s="928"/>
      <c r="AN36" s="928"/>
      <c r="AO36" s="928"/>
      <c r="AP36" s="928"/>
      <c r="AQ36" s="928"/>
      <c r="AR36" s="928"/>
      <c r="AS36" s="928"/>
      <c r="AT36" s="928"/>
      <c r="AU36" s="928"/>
      <c r="AV36" s="928"/>
      <c r="AW36" s="928"/>
      <c r="AX36" s="928"/>
      <c r="AY36" s="928"/>
      <c r="AZ36" s="928"/>
      <c r="BA36" s="928"/>
      <c r="BB36" s="928"/>
      <c r="BC36" s="928"/>
      <c r="BD36" s="928"/>
      <c r="BE36" s="928"/>
      <c r="BF36" s="1060"/>
    </row>
    <row r="37" spans="17:64" x14ac:dyDescent="0.35">
      <c r="AK37" s="928"/>
      <c r="AL37" s="1060"/>
      <c r="AM37" s="928"/>
      <c r="AN37" s="928"/>
      <c r="AO37" s="928"/>
      <c r="AP37" s="928"/>
      <c r="AQ37" s="928"/>
      <c r="AR37" s="928"/>
      <c r="AS37" s="928"/>
      <c r="AT37" s="928"/>
      <c r="AU37" s="928"/>
      <c r="AV37" s="928"/>
      <c r="AW37" s="928"/>
      <c r="AX37" s="928"/>
      <c r="AY37" s="928"/>
      <c r="AZ37" s="928"/>
      <c r="BA37" s="928"/>
      <c r="BB37" s="928"/>
      <c r="BC37" s="928"/>
      <c r="BD37" s="928"/>
      <c r="BE37" s="928"/>
      <c r="BF37" s="1060"/>
      <c r="BK37" s="1556"/>
      <c r="BL37" s="1556"/>
    </row>
    <row r="38" spans="17:64" x14ac:dyDescent="0.35">
      <c r="AK38" s="928"/>
      <c r="AL38" s="1060"/>
      <c r="AM38" s="928"/>
      <c r="AN38" s="928"/>
      <c r="AO38" s="928"/>
      <c r="AP38" s="928"/>
      <c r="AQ38" s="928"/>
      <c r="AR38" s="928"/>
      <c r="AS38" s="928"/>
      <c r="AT38" s="928"/>
      <c r="AU38" s="928"/>
      <c r="AV38" s="928"/>
      <c r="AW38" s="928"/>
      <c r="AX38" s="928"/>
      <c r="AY38" s="928"/>
      <c r="AZ38" s="928"/>
      <c r="BA38" s="928"/>
      <c r="BB38" s="928"/>
      <c r="BC38" s="928"/>
      <c r="BD38" s="928"/>
      <c r="BE38" s="928"/>
      <c r="BF38" s="1060"/>
      <c r="BK38" s="1556"/>
      <c r="BL38" s="1556"/>
    </row>
    <row r="39" spans="17:64" x14ac:dyDescent="0.35">
      <c r="AK39" s="928"/>
      <c r="AL39" s="1060"/>
      <c r="AM39" s="928"/>
      <c r="AN39" s="928"/>
      <c r="AO39" s="928"/>
      <c r="AP39" s="928"/>
      <c r="AQ39" s="928"/>
      <c r="AR39" s="928"/>
      <c r="AS39" s="928"/>
      <c r="AT39" s="928"/>
      <c r="AU39" s="928"/>
      <c r="AV39" s="928"/>
      <c r="AW39" s="928"/>
      <c r="AX39" s="928"/>
      <c r="AY39" s="928"/>
      <c r="AZ39" s="928"/>
      <c r="BA39" s="928"/>
      <c r="BB39" s="928"/>
      <c r="BC39" s="928"/>
      <c r="BD39" s="928"/>
      <c r="BE39" s="928"/>
      <c r="BF39" s="1060"/>
      <c r="BK39" s="1556"/>
      <c r="BL39" s="1556"/>
    </row>
    <row r="40" spans="17:64" x14ac:dyDescent="0.35">
      <c r="AK40" s="928"/>
      <c r="AL40" s="1060"/>
      <c r="AM40" s="928"/>
      <c r="AN40" s="928"/>
      <c r="AO40" s="928"/>
      <c r="AP40" s="928"/>
      <c r="AQ40" s="928"/>
      <c r="AR40" s="928"/>
      <c r="AS40" s="928"/>
      <c r="AT40" s="928"/>
      <c r="AU40" s="928"/>
      <c r="AV40" s="928"/>
      <c r="AW40" s="928"/>
      <c r="AX40" s="928"/>
      <c r="AY40" s="928"/>
      <c r="AZ40" s="928"/>
      <c r="BA40" s="928"/>
      <c r="BB40" s="928"/>
      <c r="BC40" s="928"/>
      <c r="BD40" s="928"/>
      <c r="BE40" s="928"/>
      <c r="BF40" s="1060"/>
      <c r="BK40" s="1556"/>
      <c r="BL40" s="1556"/>
    </row>
    <row r="41" spans="17:64" x14ac:dyDescent="0.35">
      <c r="AK41" s="928"/>
      <c r="AL41" s="1060"/>
      <c r="AM41" s="928"/>
      <c r="AN41" s="928"/>
      <c r="AO41" s="928"/>
      <c r="AP41" s="928"/>
      <c r="AQ41" s="928"/>
      <c r="AR41" s="928"/>
      <c r="AS41" s="928"/>
      <c r="AT41" s="928"/>
      <c r="AU41" s="928"/>
      <c r="AV41" s="928"/>
      <c r="AW41" s="928"/>
      <c r="AX41" s="928"/>
      <c r="AY41" s="928"/>
      <c r="AZ41" s="928"/>
      <c r="BA41" s="928"/>
      <c r="BB41" s="928"/>
      <c r="BC41" s="928"/>
      <c r="BD41" s="928"/>
      <c r="BE41" s="928"/>
      <c r="BF41" s="1060"/>
      <c r="BK41" s="1556"/>
      <c r="BL41" s="1556"/>
    </row>
    <row r="42" spans="17:64" x14ac:dyDescent="0.35">
      <c r="AK42" s="928"/>
      <c r="AL42" s="1060"/>
      <c r="AM42" s="928"/>
      <c r="AN42" s="928"/>
      <c r="AO42" s="928"/>
      <c r="AP42" s="928"/>
      <c r="AQ42" s="928"/>
      <c r="AR42" s="928"/>
      <c r="AS42" s="928"/>
      <c r="AT42" s="928"/>
      <c r="AU42" s="928"/>
      <c r="AV42" s="928"/>
      <c r="AW42" s="928"/>
      <c r="AX42" s="928"/>
      <c r="AY42" s="928"/>
      <c r="AZ42" s="928"/>
      <c r="BA42" s="928"/>
      <c r="BB42" s="928"/>
      <c r="BC42" s="928"/>
      <c r="BD42" s="1068"/>
      <c r="BE42" s="1069"/>
      <c r="BF42" s="1060"/>
      <c r="BK42" s="1556"/>
      <c r="BL42" s="1556"/>
    </row>
    <row r="43" spans="17:64" x14ac:dyDescent="0.35">
      <c r="AK43" s="928"/>
      <c r="AL43" s="1060"/>
      <c r="AM43" s="928"/>
      <c r="AN43" s="928"/>
      <c r="AO43" s="928"/>
      <c r="AP43" s="928"/>
      <c r="AQ43" s="928"/>
      <c r="AR43" s="928"/>
      <c r="AS43" s="928"/>
      <c r="AT43" s="928"/>
      <c r="AU43" s="928"/>
      <c r="AV43" s="928"/>
      <c r="AW43" s="928"/>
      <c r="AX43" s="928"/>
      <c r="AY43" s="928"/>
      <c r="AZ43" s="928"/>
      <c r="BA43" s="928"/>
      <c r="BB43" s="928"/>
      <c r="BC43" s="928"/>
      <c r="BD43" s="1068"/>
      <c r="BE43" s="1068"/>
      <c r="BF43" s="1060"/>
    </row>
    <row r="44" spans="17:64" x14ac:dyDescent="0.35">
      <c r="AK44" s="928"/>
      <c r="AL44" s="1060"/>
      <c r="AM44" s="928"/>
      <c r="AN44" s="928"/>
      <c r="AO44" s="928"/>
      <c r="AP44" s="928"/>
      <c r="AQ44" s="928"/>
      <c r="AR44" s="928"/>
      <c r="AS44" s="928"/>
      <c r="AT44" s="928"/>
      <c r="AU44" s="928"/>
      <c r="AV44" s="928"/>
      <c r="AW44" s="928"/>
      <c r="AX44" s="928"/>
      <c r="AY44" s="928"/>
      <c r="AZ44" s="928"/>
      <c r="BA44" s="928"/>
      <c r="BB44" s="928"/>
      <c r="BC44" s="928"/>
      <c r="BD44" s="1068"/>
      <c r="BE44" s="1068"/>
      <c r="BF44" s="1060"/>
      <c r="BK44" s="1556"/>
      <c r="BL44" s="1556"/>
    </row>
    <row r="45" spans="17:64" x14ac:dyDescent="0.35">
      <c r="AK45" s="928"/>
      <c r="AL45" s="1060"/>
      <c r="AM45" s="928"/>
      <c r="AN45" s="928"/>
      <c r="AO45" s="928"/>
      <c r="AP45" s="928"/>
      <c r="AQ45" s="928"/>
      <c r="AR45" s="928"/>
      <c r="AS45" s="928"/>
      <c r="AT45" s="928"/>
      <c r="AU45" s="928"/>
      <c r="AV45" s="928"/>
      <c r="AW45" s="928"/>
      <c r="AX45" s="928"/>
      <c r="AY45" s="928"/>
      <c r="AZ45" s="928"/>
      <c r="BA45" s="928"/>
      <c r="BB45" s="928"/>
      <c r="BC45" s="928"/>
      <c r="BD45" s="1068"/>
      <c r="BE45" s="1070"/>
      <c r="BF45" s="1060"/>
      <c r="BK45" s="1556"/>
      <c r="BL45" s="1556"/>
    </row>
    <row r="46" spans="17:64" x14ac:dyDescent="0.35">
      <c r="AK46" s="928"/>
      <c r="AL46" s="1060"/>
      <c r="AM46" s="928"/>
      <c r="AN46" s="928"/>
      <c r="AO46" s="928"/>
      <c r="AP46" s="928"/>
      <c r="AQ46" s="928"/>
      <c r="AR46" s="928"/>
      <c r="AS46" s="928"/>
      <c r="AT46" s="928"/>
      <c r="AU46" s="928"/>
      <c r="AV46" s="928"/>
      <c r="AW46" s="928"/>
      <c r="AX46" s="928"/>
      <c r="AY46" s="928"/>
      <c r="AZ46" s="928"/>
      <c r="BA46" s="928"/>
      <c r="BB46" s="928"/>
      <c r="BC46" s="928"/>
      <c r="BD46" s="1068"/>
      <c r="BE46" s="1070"/>
      <c r="BF46" s="1060"/>
      <c r="BK46" s="1556"/>
      <c r="BL46" s="1556"/>
    </row>
    <row r="47" spans="17:64" x14ac:dyDescent="0.35">
      <c r="AK47" s="928"/>
      <c r="AL47" s="1060"/>
      <c r="AM47" s="928"/>
      <c r="AN47" s="928"/>
      <c r="AO47" s="928"/>
      <c r="AP47" s="928"/>
      <c r="AQ47" s="928"/>
      <c r="AR47" s="928"/>
      <c r="AS47" s="928"/>
      <c r="AT47" s="928"/>
      <c r="AU47" s="928"/>
      <c r="AV47" s="928"/>
      <c r="AW47" s="928"/>
      <c r="AX47" s="928"/>
      <c r="AY47" s="928"/>
      <c r="AZ47" s="928"/>
      <c r="BA47" s="928"/>
      <c r="BB47" s="928"/>
      <c r="BC47" s="928"/>
      <c r="BD47" s="1068"/>
      <c r="BE47" s="1070"/>
      <c r="BF47" s="1060"/>
      <c r="BK47" s="1556"/>
      <c r="BL47" s="1556"/>
    </row>
    <row r="48" spans="17:64" x14ac:dyDescent="0.35">
      <c r="AK48" s="928"/>
      <c r="AL48" s="1060"/>
      <c r="AM48" s="928"/>
      <c r="AN48" s="928"/>
      <c r="AO48" s="928"/>
      <c r="AP48" s="928"/>
      <c r="AQ48" s="928"/>
      <c r="AR48" s="928"/>
      <c r="AS48" s="928"/>
      <c r="AT48" s="928"/>
      <c r="AU48" s="928"/>
      <c r="AV48" s="928"/>
      <c r="AW48" s="928"/>
      <c r="AX48" s="928"/>
      <c r="AY48" s="928"/>
      <c r="AZ48" s="928"/>
      <c r="BA48" s="928"/>
      <c r="BB48" s="928"/>
      <c r="BC48" s="928"/>
      <c r="BD48" s="1068"/>
      <c r="BE48" s="1068"/>
      <c r="BF48" s="1060"/>
      <c r="BK48" s="1556"/>
      <c r="BL48" s="1556"/>
    </row>
    <row r="49" spans="37:64" x14ac:dyDescent="0.35">
      <c r="AK49" s="928"/>
      <c r="AL49" s="1060"/>
      <c r="AM49" s="928"/>
      <c r="AN49" s="928"/>
      <c r="AO49" s="928"/>
      <c r="AP49" s="928"/>
      <c r="AQ49" s="928"/>
      <c r="AR49" s="928"/>
      <c r="AS49" s="928"/>
      <c r="AT49" s="928"/>
      <c r="AU49" s="928"/>
      <c r="AV49" s="928"/>
      <c r="AW49" s="928"/>
      <c r="AX49" s="928"/>
      <c r="AY49" s="928"/>
      <c r="AZ49" s="928"/>
      <c r="BA49" s="928"/>
      <c r="BB49" s="928"/>
      <c r="BC49" s="928"/>
      <c r="BD49" s="1068"/>
      <c r="BE49" s="1070"/>
      <c r="BF49" s="1060"/>
      <c r="BK49" s="1556"/>
      <c r="BL49" s="1556"/>
    </row>
    <row r="50" spans="37:64" x14ac:dyDescent="0.35">
      <c r="AK50" s="928"/>
      <c r="AL50" s="1060"/>
      <c r="AM50" s="928"/>
      <c r="AN50" s="928"/>
      <c r="AO50" s="928"/>
      <c r="AP50" s="928"/>
      <c r="AQ50" s="928"/>
      <c r="AR50" s="928"/>
      <c r="AS50" s="928"/>
      <c r="AT50" s="928"/>
      <c r="AU50" s="928"/>
      <c r="AV50" s="928"/>
      <c r="AW50" s="928"/>
      <c r="AX50" s="928"/>
      <c r="AY50" s="928"/>
      <c r="AZ50" s="928"/>
      <c r="BA50" s="928"/>
      <c r="BB50" s="928"/>
      <c r="BC50" s="928"/>
      <c r="BD50" s="1068"/>
      <c r="BE50" s="1068"/>
      <c r="BF50" s="1060"/>
      <c r="BK50" s="1556"/>
      <c r="BL50" s="1556"/>
    </row>
    <row r="51" spans="37:64" x14ac:dyDescent="0.35">
      <c r="AK51" s="928"/>
      <c r="AL51" s="1060"/>
      <c r="AM51" s="928"/>
      <c r="AN51" s="928"/>
      <c r="AO51" s="928"/>
      <c r="AP51" s="928"/>
      <c r="AQ51" s="928"/>
      <c r="AR51" s="928"/>
      <c r="AS51" s="928"/>
      <c r="AT51" s="928"/>
      <c r="AU51" s="928"/>
      <c r="AV51" s="928"/>
      <c r="AW51" s="928"/>
      <c r="AX51" s="928"/>
      <c r="AY51" s="928"/>
      <c r="AZ51" s="928"/>
      <c r="BA51" s="928"/>
      <c r="BB51" s="928"/>
      <c r="BC51" s="928"/>
      <c r="BD51" s="1068"/>
      <c r="BE51" s="1068"/>
      <c r="BF51" s="1060"/>
    </row>
    <row r="52" spans="37:64" x14ac:dyDescent="0.35">
      <c r="AK52" s="928"/>
      <c r="AL52" s="1060"/>
      <c r="AM52" s="928"/>
      <c r="AN52" s="928"/>
      <c r="AO52" s="928"/>
      <c r="AP52" s="928"/>
      <c r="AQ52" s="928"/>
      <c r="AR52" s="928"/>
      <c r="AS52" s="928"/>
      <c r="AT52" s="928"/>
      <c r="AU52" s="928"/>
      <c r="AV52" s="928"/>
      <c r="AW52" s="928"/>
      <c r="AX52" s="928"/>
      <c r="AY52" s="928"/>
      <c r="AZ52" s="928"/>
      <c r="BA52" s="928"/>
      <c r="BB52" s="928"/>
      <c r="BC52" s="928"/>
      <c r="BD52" s="928"/>
      <c r="BE52" s="928"/>
      <c r="BF52" s="1060"/>
    </row>
    <row r="53" spans="37:64" x14ac:dyDescent="0.35">
      <c r="AK53" s="928"/>
      <c r="AL53" s="1060"/>
      <c r="AM53" s="928"/>
      <c r="AN53" s="928"/>
      <c r="AO53" s="928"/>
      <c r="AP53" s="928"/>
      <c r="AQ53" s="928"/>
      <c r="AR53" s="928"/>
      <c r="AS53" s="928"/>
      <c r="AT53" s="928"/>
      <c r="AU53" s="928"/>
      <c r="AV53" s="928"/>
      <c r="AW53" s="928"/>
      <c r="AX53" s="928"/>
      <c r="AY53" s="928"/>
      <c r="AZ53" s="928"/>
      <c r="BA53" s="928"/>
      <c r="BB53" s="928"/>
      <c r="BC53" s="928"/>
      <c r="BD53" s="928"/>
      <c r="BE53" s="928"/>
      <c r="BF53" s="1060"/>
    </row>
    <row r="54" spans="37:64" x14ac:dyDescent="0.35">
      <c r="AK54" s="928"/>
      <c r="AL54" s="1060"/>
      <c r="AM54" s="928"/>
      <c r="AN54" s="928"/>
      <c r="AO54" s="928"/>
      <c r="AP54" s="928"/>
      <c r="AQ54" s="928"/>
      <c r="AR54" s="928"/>
      <c r="AS54" s="928"/>
      <c r="AT54" s="928"/>
      <c r="AU54" s="928"/>
      <c r="AV54" s="928"/>
      <c r="AW54" s="928"/>
      <c r="AX54" s="928"/>
      <c r="AY54" s="928"/>
      <c r="AZ54" s="928"/>
      <c r="BA54" s="928"/>
      <c r="BB54" s="928"/>
      <c r="BC54" s="928"/>
      <c r="BD54" s="928"/>
      <c r="BE54" s="928"/>
      <c r="BF54" s="1060"/>
    </row>
    <row r="55" spans="37:64" x14ac:dyDescent="0.35">
      <c r="AK55" s="928"/>
      <c r="AL55" s="1060"/>
      <c r="AM55" s="928"/>
      <c r="AN55" s="928"/>
      <c r="AO55" s="928"/>
      <c r="AP55" s="928"/>
      <c r="AQ55" s="928"/>
      <c r="AR55" s="928"/>
      <c r="AS55" s="928"/>
      <c r="AT55" s="928"/>
      <c r="AU55" s="928"/>
      <c r="AV55" s="928"/>
      <c r="AW55" s="928"/>
      <c r="AX55" s="928"/>
      <c r="AY55" s="928"/>
      <c r="AZ55" s="928"/>
      <c r="BA55" s="928"/>
      <c r="BB55" s="928"/>
      <c r="BC55" s="928"/>
      <c r="BD55" s="928"/>
      <c r="BE55" s="928"/>
      <c r="BF55" s="1060"/>
    </row>
    <row r="56" spans="37:64" x14ac:dyDescent="0.35">
      <c r="AK56" s="928"/>
      <c r="AL56" s="1060"/>
      <c r="AM56" s="928"/>
      <c r="AN56" s="928"/>
      <c r="AO56" s="928"/>
      <c r="AP56" s="928"/>
      <c r="AQ56" s="928"/>
      <c r="AR56" s="928"/>
      <c r="AS56" s="928"/>
      <c r="AT56" s="928"/>
      <c r="AU56" s="928"/>
      <c r="AV56" s="928"/>
      <c r="AW56" s="928"/>
      <c r="AX56" s="928"/>
      <c r="AY56" s="928"/>
      <c r="AZ56" s="928"/>
      <c r="BA56" s="928"/>
      <c r="BB56" s="928"/>
      <c r="BC56" s="928"/>
      <c r="BD56" s="928"/>
      <c r="BE56" s="928"/>
      <c r="BF56" s="1060"/>
    </row>
    <row r="57" spans="37:64" x14ac:dyDescent="0.35">
      <c r="AK57" s="928"/>
      <c r="AL57" s="1060"/>
      <c r="AM57" s="928"/>
      <c r="AN57" s="928"/>
      <c r="AO57" s="928"/>
      <c r="AP57" s="928"/>
      <c r="AQ57" s="928"/>
      <c r="AR57" s="928"/>
      <c r="AS57" s="928"/>
      <c r="AT57" s="928"/>
      <c r="AU57" s="928"/>
      <c r="AV57" s="928"/>
      <c r="AW57" s="928"/>
      <c r="AX57" s="928"/>
      <c r="AY57" s="928"/>
      <c r="AZ57" s="928"/>
      <c r="BA57" s="928"/>
      <c r="BB57" s="928"/>
      <c r="BC57" s="928"/>
      <c r="BD57" s="928"/>
      <c r="BE57" s="928"/>
      <c r="BF57" s="1060"/>
    </row>
    <row r="58" spans="37:64" x14ac:dyDescent="0.35">
      <c r="AK58" s="928"/>
      <c r="AL58" s="1060"/>
      <c r="AM58" s="928"/>
      <c r="AN58" s="928"/>
      <c r="AO58" s="928"/>
      <c r="AP58" s="928"/>
      <c r="AQ58" s="928"/>
      <c r="AR58" s="928"/>
      <c r="AS58" s="928"/>
      <c r="AT58" s="928"/>
      <c r="AU58" s="928"/>
      <c r="AV58" s="928"/>
      <c r="AW58" s="928"/>
      <c r="AX58" s="928"/>
      <c r="AY58" s="928"/>
      <c r="AZ58" s="928"/>
      <c r="BA58" s="928"/>
      <c r="BB58" s="928"/>
      <c r="BC58" s="928"/>
      <c r="BD58" s="928"/>
      <c r="BE58" s="928"/>
      <c r="BF58" s="1060"/>
    </row>
    <row r="59" spans="37:64" x14ac:dyDescent="0.35">
      <c r="AK59" s="928"/>
      <c r="AL59" s="1060"/>
      <c r="AM59" s="928"/>
      <c r="AN59" s="928"/>
      <c r="AO59" s="928"/>
      <c r="AP59" s="928"/>
      <c r="AQ59" s="928"/>
      <c r="AR59" s="928"/>
      <c r="AS59" s="928"/>
      <c r="AT59" s="928"/>
      <c r="AU59" s="928"/>
      <c r="AV59" s="928"/>
      <c r="AW59" s="928"/>
      <c r="AX59" s="928"/>
      <c r="AY59" s="928"/>
      <c r="AZ59" s="928"/>
      <c r="BA59" s="928"/>
      <c r="BB59" s="928"/>
      <c r="BC59" s="928"/>
      <c r="BD59" s="928"/>
      <c r="BE59" s="928"/>
      <c r="BF59" s="1060"/>
    </row>
    <row r="60" spans="37:64" x14ac:dyDescent="0.35">
      <c r="AK60" s="928"/>
      <c r="AL60" s="1060"/>
      <c r="AM60" s="928"/>
      <c r="AN60" s="928"/>
      <c r="AO60" s="928"/>
      <c r="AP60" s="928"/>
      <c r="AQ60" s="928"/>
      <c r="AR60" s="928"/>
      <c r="AS60" s="928"/>
      <c r="AT60" s="928"/>
      <c r="AU60" s="928"/>
      <c r="AV60" s="928"/>
      <c r="AW60" s="928"/>
      <c r="AX60" s="928"/>
      <c r="AY60" s="928"/>
      <c r="AZ60" s="928"/>
      <c r="BA60" s="928"/>
      <c r="BB60" s="928"/>
      <c r="BC60" s="928"/>
      <c r="BD60" s="928"/>
      <c r="BE60" s="928"/>
      <c r="BF60" s="1060"/>
    </row>
    <row r="61" spans="37:64" x14ac:dyDescent="0.35">
      <c r="AK61" s="928"/>
      <c r="AL61" s="1060"/>
      <c r="AM61" s="928"/>
      <c r="AN61" s="928"/>
      <c r="AO61" s="928"/>
      <c r="AP61" s="928"/>
      <c r="AQ61" s="928"/>
      <c r="AR61" s="928"/>
      <c r="AS61" s="928"/>
      <c r="AT61" s="928"/>
      <c r="AU61" s="928"/>
      <c r="AV61" s="928"/>
      <c r="AW61" s="928"/>
      <c r="AX61" s="928"/>
      <c r="AY61" s="928"/>
      <c r="AZ61" s="928"/>
      <c r="BA61" s="928"/>
      <c r="BB61" s="928"/>
      <c r="BC61" s="928"/>
      <c r="BD61" s="928"/>
      <c r="BE61" s="928"/>
      <c r="BF61" s="1060"/>
    </row>
    <row r="62" spans="37:64" x14ac:dyDescent="0.35">
      <c r="AK62" s="928"/>
      <c r="AL62" s="1060"/>
      <c r="AM62" s="928"/>
      <c r="AN62" s="928"/>
      <c r="AO62" s="928"/>
      <c r="AP62" s="928"/>
      <c r="AQ62" s="928"/>
      <c r="AR62" s="928"/>
      <c r="AS62" s="928"/>
      <c r="AT62" s="928"/>
      <c r="AU62" s="928"/>
      <c r="AV62" s="928"/>
      <c r="AW62" s="928"/>
      <c r="AX62" s="928"/>
      <c r="AY62" s="928"/>
      <c r="AZ62" s="928"/>
      <c r="BA62" s="928"/>
      <c r="BB62" s="928"/>
      <c r="BC62" s="928"/>
      <c r="BD62" s="928"/>
      <c r="BE62" s="928"/>
      <c r="BF62" s="1060"/>
    </row>
    <row r="63" spans="37:64" x14ac:dyDescent="0.35">
      <c r="AK63" s="928"/>
      <c r="AL63" s="1060"/>
      <c r="AM63" s="928"/>
      <c r="AN63" s="928"/>
      <c r="AO63" s="928"/>
      <c r="AP63" s="928"/>
      <c r="AQ63" s="928"/>
      <c r="AR63" s="928"/>
      <c r="AS63" s="928"/>
      <c r="AT63" s="928"/>
      <c r="AU63" s="928"/>
      <c r="AV63" s="928"/>
      <c r="AW63" s="928"/>
      <c r="AX63" s="928"/>
      <c r="AY63" s="928"/>
      <c r="AZ63" s="928"/>
      <c r="BA63" s="928"/>
      <c r="BB63" s="928"/>
      <c r="BC63" s="928"/>
      <c r="BD63" s="928"/>
      <c r="BE63" s="928"/>
      <c r="BF63" s="1060"/>
    </row>
    <row r="64" spans="37:64" x14ac:dyDescent="0.35">
      <c r="AK64" s="928"/>
      <c r="AL64" s="1060"/>
      <c r="AM64" s="928"/>
      <c r="AN64" s="928"/>
      <c r="AO64" s="928"/>
      <c r="AP64" s="928"/>
      <c r="AQ64" s="928"/>
      <c r="AR64" s="928"/>
      <c r="AS64" s="928"/>
      <c r="AT64" s="928"/>
      <c r="AU64" s="928"/>
      <c r="AV64" s="928"/>
      <c r="AW64" s="928"/>
      <c r="AX64" s="928"/>
      <c r="AY64" s="928"/>
      <c r="AZ64" s="928"/>
      <c r="BA64" s="928"/>
      <c r="BB64" s="928"/>
      <c r="BC64" s="928"/>
      <c r="BD64" s="928"/>
      <c r="BE64" s="928"/>
      <c r="BF64" s="1060"/>
    </row>
    <row r="65" spans="37:58" x14ac:dyDescent="0.35">
      <c r="AK65" s="928"/>
      <c r="AL65" s="1060"/>
      <c r="AM65" s="928"/>
      <c r="AN65" s="928"/>
      <c r="AO65" s="928"/>
      <c r="AP65" s="928"/>
      <c r="AQ65" s="928"/>
      <c r="AR65" s="928"/>
      <c r="AS65" s="928"/>
      <c r="AT65" s="928"/>
      <c r="AU65" s="928"/>
      <c r="AV65" s="928"/>
      <c r="AW65" s="928"/>
      <c r="AX65" s="928"/>
      <c r="AY65" s="928"/>
      <c r="AZ65" s="928"/>
      <c r="BA65" s="928"/>
      <c r="BB65" s="928"/>
      <c r="BC65" s="928"/>
      <c r="BD65" s="928"/>
      <c r="BE65" s="928"/>
      <c r="BF65" s="1060"/>
    </row>
    <row r="66" spans="37:58" x14ac:dyDescent="0.35">
      <c r="AK66" s="928"/>
      <c r="AL66" s="1060"/>
      <c r="AM66" s="928"/>
      <c r="AN66" s="928"/>
      <c r="AO66" s="928"/>
      <c r="AP66" s="928"/>
      <c r="AQ66" s="928"/>
      <c r="AR66" s="928"/>
      <c r="AS66" s="928"/>
      <c r="AT66" s="928"/>
      <c r="AU66" s="928"/>
      <c r="AV66" s="928"/>
      <c r="AW66" s="928"/>
      <c r="AX66" s="928"/>
      <c r="AY66" s="928"/>
      <c r="AZ66" s="928"/>
      <c r="BA66" s="928"/>
      <c r="BB66" s="928"/>
      <c r="BC66" s="928"/>
      <c r="BD66" s="928"/>
      <c r="BE66" s="928"/>
      <c r="BF66" s="1060"/>
    </row>
    <row r="67" spans="37:58" x14ac:dyDescent="0.35">
      <c r="AK67" s="928"/>
      <c r="AL67" s="1060"/>
      <c r="AM67" s="928"/>
      <c r="AN67" s="928"/>
      <c r="AO67" s="928"/>
      <c r="AP67" s="928"/>
      <c r="AQ67" s="928"/>
      <c r="AR67" s="928"/>
      <c r="AS67" s="928"/>
      <c r="AT67" s="928"/>
      <c r="AU67" s="928"/>
      <c r="AV67" s="928"/>
      <c r="AW67" s="928"/>
      <c r="AX67" s="928"/>
      <c r="AY67" s="928"/>
      <c r="AZ67" s="928"/>
      <c r="BA67" s="928"/>
      <c r="BB67" s="928"/>
      <c r="BC67" s="928"/>
      <c r="BD67" s="928"/>
      <c r="BE67" s="928"/>
      <c r="BF67" s="1060"/>
    </row>
    <row r="68" spans="37:58" x14ac:dyDescent="0.35">
      <c r="AK68" s="928"/>
      <c r="AL68" s="1060"/>
      <c r="AM68" s="928"/>
      <c r="AN68" s="928"/>
      <c r="AO68" s="928"/>
      <c r="AP68" s="928"/>
      <c r="AQ68" s="928"/>
      <c r="AR68" s="928"/>
      <c r="AS68" s="928"/>
      <c r="AT68" s="928"/>
      <c r="AU68" s="928"/>
      <c r="AV68" s="928"/>
      <c r="AW68" s="928"/>
      <c r="AX68" s="928"/>
      <c r="AY68" s="928"/>
      <c r="AZ68" s="928"/>
      <c r="BA68" s="928"/>
      <c r="BB68" s="928"/>
      <c r="BC68" s="928"/>
      <c r="BD68" s="928"/>
      <c r="BE68" s="928"/>
      <c r="BF68" s="1060"/>
    </row>
    <row r="69" spans="37:58" x14ac:dyDescent="0.35">
      <c r="AK69" s="928"/>
      <c r="AL69" s="1060"/>
      <c r="AM69" s="928"/>
      <c r="AN69" s="928"/>
      <c r="AO69" s="928"/>
      <c r="AP69" s="928"/>
      <c r="AQ69" s="928"/>
      <c r="AR69" s="928"/>
      <c r="AS69" s="928"/>
      <c r="AT69" s="928"/>
      <c r="AU69" s="928"/>
      <c r="AV69" s="928"/>
      <c r="AW69" s="928"/>
      <c r="AX69" s="928"/>
      <c r="AY69" s="928"/>
      <c r="AZ69" s="928"/>
      <c r="BA69" s="928"/>
      <c r="BB69" s="928"/>
      <c r="BC69" s="928"/>
      <c r="BD69" s="928"/>
      <c r="BE69" s="928"/>
      <c r="BF69" s="1060"/>
    </row>
    <row r="70" spans="37:58" x14ac:dyDescent="0.35">
      <c r="AK70" s="928"/>
      <c r="AL70" s="1060"/>
      <c r="AM70" s="928"/>
      <c r="AN70" s="928"/>
      <c r="AO70" s="928"/>
      <c r="AP70" s="928"/>
      <c r="AQ70" s="928"/>
      <c r="AR70" s="928"/>
      <c r="AS70" s="928"/>
      <c r="AT70" s="928"/>
      <c r="AU70" s="928"/>
      <c r="AV70" s="928"/>
      <c r="AW70" s="928"/>
      <c r="AX70" s="928"/>
      <c r="AY70" s="928"/>
      <c r="AZ70" s="928"/>
      <c r="BA70" s="928"/>
      <c r="BB70" s="928"/>
      <c r="BC70" s="928"/>
      <c r="BD70" s="928"/>
      <c r="BE70" s="928"/>
      <c r="BF70" s="1060"/>
    </row>
    <row r="71" spans="37:58" x14ac:dyDescent="0.35">
      <c r="AK71" s="928"/>
      <c r="AL71" s="1060"/>
      <c r="AM71" s="928"/>
      <c r="AN71" s="928"/>
      <c r="AO71" s="928"/>
      <c r="AP71" s="928"/>
      <c r="AQ71" s="928"/>
      <c r="AR71" s="928"/>
      <c r="AS71" s="928"/>
      <c r="AT71" s="928"/>
      <c r="AU71" s="928"/>
      <c r="AV71" s="928"/>
      <c r="AW71" s="928"/>
      <c r="AX71" s="928"/>
      <c r="AY71" s="928"/>
      <c r="AZ71" s="928"/>
      <c r="BA71" s="928"/>
      <c r="BB71" s="928"/>
      <c r="BC71" s="928"/>
      <c r="BD71" s="928"/>
      <c r="BE71" s="928"/>
      <c r="BF71" s="1060"/>
    </row>
    <row r="72" spans="37:58" x14ac:dyDescent="0.35">
      <c r="AK72" s="928"/>
      <c r="AL72" s="1060"/>
      <c r="AM72" s="928"/>
      <c r="AN72" s="928"/>
      <c r="AO72" s="928"/>
      <c r="AP72" s="928"/>
      <c r="AQ72" s="928"/>
      <c r="AR72" s="928"/>
      <c r="AS72" s="928"/>
      <c r="AT72" s="928"/>
      <c r="AU72" s="928"/>
      <c r="AV72" s="928"/>
      <c r="AW72" s="928"/>
      <c r="AX72" s="928"/>
      <c r="AY72" s="928"/>
      <c r="AZ72" s="928"/>
      <c r="BA72" s="928"/>
      <c r="BB72" s="928"/>
      <c r="BC72" s="928"/>
      <c r="BD72" s="928"/>
      <c r="BE72" s="928"/>
      <c r="BF72" s="1060"/>
    </row>
    <row r="73" spans="37:58" x14ac:dyDescent="0.35">
      <c r="AK73" s="928"/>
      <c r="AL73" s="1060"/>
      <c r="AM73" s="928"/>
      <c r="AN73" s="928"/>
      <c r="AO73" s="928"/>
      <c r="AP73" s="928"/>
      <c r="AQ73" s="928"/>
      <c r="AR73" s="928"/>
      <c r="AS73" s="928"/>
      <c r="AT73" s="928"/>
      <c r="AU73" s="928"/>
      <c r="AV73" s="928"/>
      <c r="AW73" s="928"/>
      <c r="AX73" s="928"/>
      <c r="AY73" s="928"/>
      <c r="AZ73" s="928"/>
      <c r="BA73" s="928"/>
      <c r="BB73" s="928"/>
      <c r="BC73" s="928"/>
      <c r="BD73" s="928"/>
      <c r="BE73" s="928"/>
      <c r="BF73" s="1060"/>
    </row>
    <row r="74" spans="37:58" x14ac:dyDescent="0.35">
      <c r="AK74" s="928"/>
      <c r="AL74" s="1060"/>
      <c r="AM74" s="928"/>
      <c r="AN74" s="928"/>
      <c r="AO74" s="928"/>
      <c r="AP74" s="928"/>
      <c r="AQ74" s="928"/>
      <c r="AR74" s="928"/>
      <c r="AS74" s="928"/>
      <c r="AT74" s="928"/>
      <c r="AU74" s="928"/>
      <c r="AV74" s="928"/>
      <c r="AW74" s="928"/>
      <c r="AX74" s="928"/>
      <c r="AY74" s="928"/>
      <c r="AZ74" s="928"/>
      <c r="BA74" s="928"/>
      <c r="BB74" s="928"/>
      <c r="BC74" s="928"/>
      <c r="BD74" s="928"/>
      <c r="BE74" s="928"/>
      <c r="BF74" s="1060"/>
    </row>
    <row r="75" spans="37:58" x14ac:dyDescent="0.35">
      <c r="AK75" s="928"/>
      <c r="AL75" s="1060"/>
      <c r="AM75" s="928"/>
      <c r="AN75" s="928"/>
      <c r="AO75" s="928"/>
      <c r="AP75" s="928"/>
      <c r="AQ75" s="928"/>
      <c r="AR75" s="928"/>
      <c r="AS75" s="928"/>
      <c r="AT75" s="928"/>
      <c r="AU75" s="928"/>
      <c r="AV75" s="928"/>
      <c r="AW75" s="928"/>
      <c r="AX75" s="928"/>
      <c r="AY75" s="928"/>
      <c r="AZ75" s="928"/>
      <c r="BA75" s="928"/>
      <c r="BB75" s="928"/>
      <c r="BC75" s="928"/>
      <c r="BD75" s="928"/>
      <c r="BE75" s="928"/>
      <c r="BF75" s="1060"/>
    </row>
    <row r="76" spans="37:58" x14ac:dyDescent="0.35">
      <c r="AK76" s="928"/>
      <c r="AL76" s="1060"/>
      <c r="AM76" s="928"/>
      <c r="AN76" s="928"/>
      <c r="AO76" s="928"/>
      <c r="AP76" s="928"/>
      <c r="AQ76" s="928"/>
      <c r="AR76" s="928"/>
      <c r="AS76" s="928"/>
      <c r="AT76" s="928"/>
      <c r="AU76" s="928"/>
      <c r="AV76" s="928"/>
      <c r="AW76" s="928"/>
      <c r="AX76" s="928"/>
      <c r="AY76" s="928"/>
      <c r="AZ76" s="928"/>
      <c r="BA76" s="928"/>
      <c r="BB76" s="928"/>
      <c r="BC76" s="928"/>
      <c r="BD76" s="928"/>
      <c r="BE76" s="928"/>
      <c r="BF76" s="1060"/>
    </row>
    <row r="77" spans="37:58" x14ac:dyDescent="0.35">
      <c r="AK77" s="928"/>
      <c r="AL77" s="1060"/>
      <c r="AM77" s="928"/>
      <c r="AN77" s="928"/>
      <c r="AO77" s="928"/>
      <c r="AP77" s="928"/>
      <c r="AQ77" s="928"/>
      <c r="AR77" s="928"/>
      <c r="AS77" s="928"/>
      <c r="AT77" s="928"/>
      <c r="AU77" s="928"/>
      <c r="AV77" s="928"/>
      <c r="AW77" s="928"/>
      <c r="AX77" s="928"/>
      <c r="AY77" s="928"/>
      <c r="AZ77" s="928"/>
      <c r="BA77" s="928"/>
      <c r="BB77" s="928"/>
      <c r="BC77" s="928"/>
      <c r="BD77" s="928"/>
      <c r="BE77" s="928"/>
      <c r="BF77" s="1060"/>
    </row>
  </sheetData>
  <sheetProtection sheet="1" objects="1" scenarios="1"/>
  <mergeCells count="170">
    <mergeCell ref="AJ11:AJ12"/>
    <mergeCell ref="AJ13:AJ14"/>
    <mergeCell ref="B11:B12"/>
    <mergeCell ref="C11:C12"/>
    <mergeCell ref="D11:D12"/>
    <mergeCell ref="F22:N22"/>
    <mergeCell ref="BI6:BI7"/>
    <mergeCell ref="BI9:BI10"/>
    <mergeCell ref="BI11:BI12"/>
    <mergeCell ref="BI13:BI14"/>
    <mergeCell ref="Y11:Y12"/>
    <mergeCell ref="Y13:Y14"/>
    <mergeCell ref="AI11:AI12"/>
    <mergeCell ref="AF13:AF14"/>
    <mergeCell ref="B13:B14"/>
    <mergeCell ref="C13:C14"/>
    <mergeCell ref="D13:D14"/>
    <mergeCell ref="E13:E14"/>
    <mergeCell ref="O13:O14"/>
    <mergeCell ref="S11:S12"/>
    <mergeCell ref="V11:V12"/>
    <mergeCell ref="F14:N14"/>
    <mergeCell ref="AI13:AI14"/>
    <mergeCell ref="E11:E12"/>
    <mergeCell ref="B1:AF1"/>
    <mergeCell ref="AI1:BH1"/>
    <mergeCell ref="F2:N2"/>
    <mergeCell ref="AJ9:AJ10"/>
    <mergeCell ref="AA3:AA4"/>
    <mergeCell ref="BG3:BG4"/>
    <mergeCell ref="BH3:BH4"/>
    <mergeCell ref="F3:N3"/>
    <mergeCell ref="X3:X4"/>
    <mergeCell ref="Y3:Y4"/>
    <mergeCell ref="T3:T4"/>
    <mergeCell ref="O3:O4"/>
    <mergeCell ref="P3:P4"/>
    <mergeCell ref="Q3:Q4"/>
    <mergeCell ref="S3:S4"/>
    <mergeCell ref="U3:U4"/>
    <mergeCell ref="E9:E10"/>
    <mergeCell ref="O9:O10"/>
    <mergeCell ref="P9:P10"/>
    <mergeCell ref="AI9:AI10"/>
    <mergeCell ref="R3:R4"/>
    <mergeCell ref="A6:A7"/>
    <mergeCell ref="A9:A10"/>
    <mergeCell ref="A11:A12"/>
    <mergeCell ref="A13:A14"/>
    <mergeCell ref="AG6:AG7"/>
    <mergeCell ref="AH6:AH7"/>
    <mergeCell ref="AG9:AG10"/>
    <mergeCell ref="AH9:AH10"/>
    <mergeCell ref="AG11:AG12"/>
    <mergeCell ref="AH11:AH12"/>
    <mergeCell ref="AG13:AG14"/>
    <mergeCell ref="AH13:AH14"/>
    <mergeCell ref="T13:T14"/>
    <mergeCell ref="T11:T12"/>
    <mergeCell ref="AF11:AF12"/>
    <mergeCell ref="P13:P14"/>
    <mergeCell ref="S13:S14"/>
    <mergeCell ref="V13:V14"/>
    <mergeCell ref="T9:T10"/>
    <mergeCell ref="AF9:AF10"/>
    <mergeCell ref="F10:N10"/>
    <mergeCell ref="S9:S10"/>
    <mergeCell ref="V9:V10"/>
    <mergeCell ref="Y9:Y10"/>
    <mergeCell ref="O11:O12"/>
    <mergeCell ref="P11:P12"/>
    <mergeCell ref="F12:N12"/>
    <mergeCell ref="B9:B10"/>
    <mergeCell ref="C9:C10"/>
    <mergeCell ref="D9:D10"/>
    <mergeCell ref="AA15:AA16"/>
    <mergeCell ref="P15:P16"/>
    <mergeCell ref="Q15:Q16"/>
    <mergeCell ref="S15:S16"/>
    <mergeCell ref="U15:U16"/>
    <mergeCell ref="V15:V16"/>
    <mergeCell ref="B15:B16"/>
    <mergeCell ref="C15:C16"/>
    <mergeCell ref="D15:D16"/>
    <mergeCell ref="E15:E16"/>
    <mergeCell ref="F15:N15"/>
    <mergeCell ref="O15:O16"/>
    <mergeCell ref="W15:W16"/>
    <mergeCell ref="X15:X16"/>
    <mergeCell ref="Y15:Y16"/>
    <mergeCell ref="T15:T16"/>
    <mergeCell ref="R15:R16"/>
    <mergeCell ref="BK9:BK10"/>
    <mergeCell ref="BL9:BL10"/>
    <mergeCell ref="BK11:BK12"/>
    <mergeCell ref="BL11:BL12"/>
    <mergeCell ref="BK13:BK14"/>
    <mergeCell ref="BL13:BL14"/>
    <mergeCell ref="BK15:BK16"/>
    <mergeCell ref="BL15:BL16"/>
    <mergeCell ref="BG15:BG16"/>
    <mergeCell ref="BH15:BH16"/>
    <mergeCell ref="BK37:BK38"/>
    <mergeCell ref="BL37:BL38"/>
    <mergeCell ref="BK39:BK40"/>
    <mergeCell ref="BL39:BL40"/>
    <mergeCell ref="BK41:BK42"/>
    <mergeCell ref="BL41:BL42"/>
    <mergeCell ref="BK44:BK50"/>
    <mergeCell ref="BL44:BL50"/>
    <mergeCell ref="BK18:BK22"/>
    <mergeCell ref="BL18:BL22"/>
    <mergeCell ref="BK24:BK25"/>
    <mergeCell ref="BL24:BL25"/>
    <mergeCell ref="BK27:BK28"/>
    <mergeCell ref="BL27:BL28"/>
    <mergeCell ref="BK30:BK31"/>
    <mergeCell ref="BL30:BL31"/>
    <mergeCell ref="BK32:BK33"/>
    <mergeCell ref="BL32:BL33"/>
    <mergeCell ref="BK34:BK35"/>
    <mergeCell ref="BL34:BL35"/>
    <mergeCell ref="BK6:BK7"/>
    <mergeCell ref="BL6:BL7"/>
    <mergeCell ref="F7:N7"/>
    <mergeCell ref="AI3:AI4"/>
    <mergeCell ref="AI6:AI7"/>
    <mergeCell ref="AJ6:AJ7"/>
    <mergeCell ref="B6:B7"/>
    <mergeCell ref="C6:C7"/>
    <mergeCell ref="D6:D7"/>
    <mergeCell ref="E6:E7"/>
    <mergeCell ref="O6:O7"/>
    <mergeCell ref="P6:P7"/>
    <mergeCell ref="S6:S7"/>
    <mergeCell ref="V6:V7"/>
    <mergeCell ref="Y6:Y7"/>
    <mergeCell ref="T6:T7"/>
    <mergeCell ref="AF6:AF7"/>
    <mergeCell ref="AE3:AE4"/>
    <mergeCell ref="AF3:AF4"/>
    <mergeCell ref="V3:V4"/>
    <mergeCell ref="W3:W4"/>
    <mergeCell ref="B3:B4"/>
    <mergeCell ref="D3:D4"/>
    <mergeCell ref="E3:E4"/>
    <mergeCell ref="AI15:AI16"/>
    <mergeCell ref="AJ15:AJ16"/>
    <mergeCell ref="AB3:AB4"/>
    <mergeCell ref="AB15:AB16"/>
    <mergeCell ref="Z3:Z4"/>
    <mergeCell ref="Z6:Z7"/>
    <mergeCell ref="Z9:Z10"/>
    <mergeCell ref="Z11:Z12"/>
    <mergeCell ref="Z13:Z14"/>
    <mergeCell ref="Z15:Z16"/>
    <mergeCell ref="AD3:AD4"/>
    <mergeCell ref="AD6:AD7"/>
    <mergeCell ref="AD9:AD10"/>
    <mergeCell ref="AD11:AD12"/>
    <mergeCell ref="AD13:AD14"/>
    <mergeCell ref="AD15:AD16"/>
    <mergeCell ref="AC3:AC4"/>
    <mergeCell ref="AC6:AC7"/>
    <mergeCell ref="AC9:AC10"/>
    <mergeCell ref="AC11:AC12"/>
    <mergeCell ref="AC13:AC14"/>
    <mergeCell ref="AC15:AC16"/>
    <mergeCell ref="AE15:AE16"/>
    <mergeCell ref="AF15:AF16"/>
  </mergeCells>
  <conditionalFormatting sqref="E9 E11 E13">
    <cfRule type="containsText" dxfId="4" priority="15" operator="containsText" text="Critical">
      <formula>NOT(ISERROR(SEARCH("Critical",E9)))</formula>
    </cfRule>
    <cfRule type="containsText" dxfId="3" priority="16" operator="containsText" text="Essential">
      <formula>NOT(ISERROR(SEARCH("Essential",E9)))</formula>
    </cfRule>
    <cfRule type="containsText" dxfId="2" priority="17" operator="containsText" text="Desirable">
      <formula>NOT(ISERROR(SEARCH("Desirable",E9)))</formula>
    </cfRule>
  </conditionalFormatting>
  <conditionalFormatting sqref="E9">
    <cfRule type="containsText" dxfId="1" priority="14" operator="containsText" text="Required">
      <formula>NOT(ISERROR(SEARCH("Required",E9)))</formula>
    </cfRule>
  </conditionalFormatting>
  <conditionalFormatting sqref="E11 E13">
    <cfRule type="containsText" dxfId="0" priority="13" operator="containsText" text="Required">
      <formula>NOT(ISERROR(SEARCH("Required",E11)))</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colBreaks count="1" manualBreakCount="1">
    <brk id="33" max="2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
  <sheetViews>
    <sheetView workbookViewId="0">
      <selection activeCell="K23" sqref="K23"/>
    </sheetView>
  </sheetViews>
  <sheetFormatPr defaultRowHeight="14.5" x14ac:dyDescent="0.35"/>
  <sheetData/>
  <customSheetViews>
    <customSheetView guid="{ABA5F389-8542-4AF6-A0AD-26EEBCFE7D39}">
      <selection activeCell="I15" sqref="I15"/>
      <pageMargins left="0" right="0" top="0" bottom="0" header="0" footer="0"/>
    </customSheetView>
    <customSheetView guid="{7F5519A9-88A7-46CA-B363-24A705583E19}">
      <selection activeCell="I15" sqref="I15"/>
      <pageMargins left="0" right="0" top="0" bottom="0" header="0" footer="0"/>
    </customSheetView>
    <customSheetView guid="{6738F3FF-F6BA-46E6-AB73-DE51CDA2C60E}">
      <selection activeCell="I15" sqref="I15"/>
      <pageMargins left="0" right="0" top="0" bottom="0" header="0" footer="0"/>
    </customSheetView>
    <customSheetView guid="{B31C465B-3C98-4FE7-ABEA-33FC9674B3E4}">
      <selection activeCell="I15" sqref="I15"/>
      <pageMargins left="0" right="0" top="0" bottom="0" header="0" footer="0"/>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C92"/>
  <sheetViews>
    <sheetView zoomScaleNormal="100" workbookViewId="0">
      <pane xSplit="6" ySplit="9" topLeftCell="G10" activePane="bottomRight" state="frozen"/>
      <selection pane="topRight" activeCell="G1" sqref="G1"/>
      <selection pane="bottomLeft" activeCell="A10" sqref="A10"/>
      <selection pane="bottomRight" activeCell="K98" sqref="K98"/>
    </sheetView>
  </sheetViews>
  <sheetFormatPr defaultColWidth="8.90625" defaultRowHeight="14.5" outlineLevelRow="1" x14ac:dyDescent="0.35"/>
  <cols>
    <col min="1" max="2" width="29.90625" customWidth="1"/>
    <col min="3" max="3" width="9.90625" bestFit="1" customWidth="1"/>
    <col min="4" max="4" width="10.90625" bestFit="1" customWidth="1"/>
    <col min="5" max="5" width="9.90625" bestFit="1" customWidth="1"/>
    <col min="6" max="7" width="10.90625" bestFit="1" customWidth="1"/>
    <col min="8" max="8" width="10.54296875" bestFit="1" customWidth="1"/>
    <col min="9" max="9" width="21.54296875" customWidth="1"/>
    <col min="10" max="10" width="12.08984375" customWidth="1"/>
    <col min="11" max="11" width="19.08984375" customWidth="1"/>
    <col min="12" max="13" width="11.90625" customWidth="1"/>
    <col min="14" max="14" width="11.54296875" customWidth="1"/>
    <col min="15" max="15" width="12.453125" customWidth="1"/>
    <col min="16" max="16" width="9.90625" bestFit="1" customWidth="1"/>
    <col min="17" max="17" width="12.453125" customWidth="1"/>
    <col min="18" max="29" width="9.90625" bestFit="1" customWidth="1"/>
  </cols>
  <sheetData>
    <row r="1" spans="1:29" ht="87" outlineLevel="1" x14ac:dyDescent="0.35">
      <c r="B1" t="s">
        <v>15</v>
      </c>
      <c r="C1" s="66" t="s">
        <v>2029</v>
      </c>
      <c r="D1" s="66" t="s">
        <v>2030</v>
      </c>
      <c r="E1" s="66" t="s">
        <v>2031</v>
      </c>
      <c r="F1" s="66" t="s">
        <v>2032</v>
      </c>
      <c r="G1" s="66" t="s">
        <v>2033</v>
      </c>
      <c r="H1" s="66" t="s">
        <v>2034</v>
      </c>
      <c r="I1" s="282" t="s">
        <v>2035</v>
      </c>
      <c r="J1" s="282" t="s">
        <v>2036</v>
      </c>
      <c r="K1" s="282" t="s">
        <v>2037</v>
      </c>
      <c r="L1" s="282" t="s">
        <v>2038</v>
      </c>
      <c r="M1" s="282" t="s">
        <v>2039</v>
      </c>
      <c r="N1" s="282" t="s">
        <v>2040</v>
      </c>
      <c r="O1" s="282" t="s">
        <v>2041</v>
      </c>
      <c r="P1" s="67" t="s">
        <v>178</v>
      </c>
      <c r="Q1" s="67" t="s">
        <v>179</v>
      </c>
      <c r="R1" s="67" t="s">
        <v>2042</v>
      </c>
      <c r="S1" s="67" t="s">
        <v>183</v>
      </c>
      <c r="T1" s="67" t="s">
        <v>185</v>
      </c>
      <c r="U1" s="67" t="s">
        <v>2043</v>
      </c>
      <c r="V1" s="67" t="s">
        <v>2044</v>
      </c>
      <c r="W1" s="67" t="s">
        <v>190</v>
      </c>
      <c r="X1" s="67" t="s">
        <v>2045</v>
      </c>
      <c r="Y1" s="67" t="s">
        <v>193</v>
      </c>
      <c r="Z1" s="67" t="s">
        <v>2046</v>
      </c>
      <c r="AA1" s="67" t="s">
        <v>2047</v>
      </c>
      <c r="AB1" s="67" t="s">
        <v>196</v>
      </c>
      <c r="AC1" s="67" t="s">
        <v>198</v>
      </c>
    </row>
    <row r="2" spans="1:29" s="71" customFormat="1" ht="9.75" hidden="1" customHeight="1" outlineLevel="1" x14ac:dyDescent="0.25">
      <c r="C2" s="69" t="s">
        <v>2048</v>
      </c>
      <c r="D2" s="68" t="s">
        <v>2049</v>
      </c>
      <c r="E2" s="68" t="s">
        <v>2048</v>
      </c>
      <c r="F2" s="68" t="s">
        <v>2050</v>
      </c>
      <c r="G2" s="69"/>
      <c r="H2" s="69"/>
      <c r="I2" s="69"/>
      <c r="J2" s="69"/>
      <c r="K2" s="69"/>
      <c r="L2" s="69"/>
      <c r="M2" s="69"/>
      <c r="N2" s="69"/>
      <c r="O2" s="69"/>
      <c r="P2" s="70" t="s">
        <v>2051</v>
      </c>
      <c r="Q2" s="70" t="s">
        <v>2052</v>
      </c>
      <c r="R2" s="70" t="s">
        <v>2049</v>
      </c>
      <c r="S2" s="70" t="s">
        <v>2053</v>
      </c>
      <c r="T2" s="70" t="s">
        <v>2050</v>
      </c>
      <c r="U2" s="70" t="s">
        <v>2050</v>
      </c>
      <c r="V2" s="70" t="s">
        <v>2054</v>
      </c>
      <c r="W2" s="70" t="s">
        <v>2055</v>
      </c>
      <c r="X2" s="70" t="s">
        <v>2052</v>
      </c>
      <c r="Y2" s="70" t="s">
        <v>2054</v>
      </c>
      <c r="Z2" s="70" t="s">
        <v>2052</v>
      </c>
      <c r="AA2" s="70" t="s">
        <v>2056</v>
      </c>
      <c r="AB2" s="70" t="s">
        <v>2051</v>
      </c>
      <c r="AC2" s="70" t="s">
        <v>2057</v>
      </c>
    </row>
    <row r="3" spans="1:29" s="71" customFormat="1" ht="10.4" hidden="1" customHeight="1" outlineLevel="1" x14ac:dyDescent="0.25">
      <c r="C3" s="69" t="s">
        <v>2054</v>
      </c>
      <c r="D3" s="68" t="s">
        <v>2058</v>
      </c>
      <c r="E3" s="68" t="s">
        <v>2054</v>
      </c>
      <c r="F3" s="68" t="s">
        <v>2056</v>
      </c>
      <c r="G3" s="69"/>
      <c r="H3" s="69"/>
      <c r="I3" s="69"/>
      <c r="J3" s="69"/>
      <c r="K3" s="69"/>
      <c r="L3" s="69"/>
      <c r="M3" s="69"/>
      <c r="N3" s="69"/>
      <c r="O3" s="69"/>
      <c r="P3" s="70" t="s">
        <v>2056</v>
      </c>
      <c r="Q3" s="70" t="s">
        <v>2052</v>
      </c>
      <c r="R3" s="70" t="s">
        <v>2050</v>
      </c>
      <c r="S3" s="70" t="s">
        <v>2053</v>
      </c>
      <c r="T3" s="70" t="s">
        <v>2050</v>
      </c>
      <c r="U3" s="70" t="s">
        <v>2050</v>
      </c>
      <c r="V3" s="70" t="s">
        <v>2054</v>
      </c>
      <c r="W3" s="70" t="s">
        <v>2055</v>
      </c>
      <c r="X3" s="70" t="s">
        <v>2052</v>
      </c>
      <c r="Y3" s="70" t="s">
        <v>2054</v>
      </c>
      <c r="Z3" s="70" t="s">
        <v>2052</v>
      </c>
      <c r="AA3" s="70" t="s">
        <v>2056</v>
      </c>
      <c r="AB3" s="70" t="s">
        <v>2051</v>
      </c>
      <c r="AC3" s="70" t="s">
        <v>2057</v>
      </c>
    </row>
    <row r="4" spans="1:29" s="75" customFormat="1" outlineLevel="1" x14ac:dyDescent="0.35">
      <c r="B4" s="75">
        <f>SUM(C4:AC4)</f>
        <v>19454</v>
      </c>
      <c r="C4" s="73">
        <v>750</v>
      </c>
      <c r="D4" s="72">
        <v>2600</v>
      </c>
      <c r="E4" s="72">
        <v>1050</v>
      </c>
      <c r="F4" s="73">
        <v>2100</v>
      </c>
      <c r="G4" s="72">
        <v>8500</v>
      </c>
      <c r="H4" s="72">
        <v>1500</v>
      </c>
      <c r="I4" s="283">
        <v>2120</v>
      </c>
      <c r="J4" s="283">
        <v>0</v>
      </c>
      <c r="K4" s="283">
        <v>0</v>
      </c>
      <c r="L4" s="283">
        <v>0</v>
      </c>
      <c r="M4" s="283">
        <v>0</v>
      </c>
      <c r="N4" s="283">
        <v>0</v>
      </c>
      <c r="O4" s="283">
        <v>0</v>
      </c>
      <c r="P4" s="281">
        <v>550</v>
      </c>
      <c r="Q4" s="74">
        <v>70</v>
      </c>
      <c r="R4" s="74">
        <v>30</v>
      </c>
      <c r="S4" s="74">
        <v>35</v>
      </c>
      <c r="T4" s="74">
        <v>35</v>
      </c>
      <c r="U4" s="74">
        <v>20</v>
      </c>
      <c r="V4" s="74">
        <v>16</v>
      </c>
      <c r="W4" s="74">
        <v>15</v>
      </c>
      <c r="X4" s="74">
        <v>13</v>
      </c>
      <c r="Y4" s="74">
        <v>10</v>
      </c>
      <c r="Z4" s="74">
        <v>10</v>
      </c>
      <c r="AA4" s="74">
        <v>10</v>
      </c>
      <c r="AB4" s="74">
        <v>10</v>
      </c>
      <c r="AC4" s="74">
        <v>10</v>
      </c>
    </row>
    <row r="5" spans="1:29" x14ac:dyDescent="0.35">
      <c r="A5" s="75" t="s">
        <v>209</v>
      </c>
      <c r="B5" s="82">
        <f>F4</f>
        <v>2100</v>
      </c>
      <c r="C5" s="77"/>
      <c r="D5" s="76"/>
      <c r="E5" s="76"/>
      <c r="F5" s="80">
        <v>1</v>
      </c>
      <c r="G5" s="76"/>
      <c r="H5" s="76"/>
      <c r="I5" s="76"/>
      <c r="J5" s="76"/>
      <c r="K5" s="76"/>
      <c r="L5" s="76"/>
      <c r="M5" s="76"/>
      <c r="N5" s="76"/>
      <c r="O5" s="76"/>
    </row>
    <row r="6" spans="1:29" x14ac:dyDescent="0.35">
      <c r="A6" s="75" t="s">
        <v>2059</v>
      </c>
      <c r="B6" s="82">
        <f>SUM(I4:AC4)</f>
        <v>2954</v>
      </c>
      <c r="C6" s="77"/>
      <c r="D6" s="76"/>
      <c r="E6" s="78"/>
      <c r="F6" s="78"/>
      <c r="G6" s="76"/>
      <c r="H6" s="76"/>
      <c r="I6" s="81">
        <f t="shared" ref="I6:O6" si="0">(I4/$B$6)</f>
        <v>0.7176709546377793</v>
      </c>
      <c r="J6" s="81">
        <f t="shared" si="0"/>
        <v>0</v>
      </c>
      <c r="K6" s="81">
        <f t="shared" si="0"/>
        <v>0</v>
      </c>
      <c r="L6" s="81">
        <f t="shared" si="0"/>
        <v>0</v>
      </c>
      <c r="M6" s="81">
        <f t="shared" si="0"/>
        <v>0</v>
      </c>
      <c r="N6" s="81">
        <f t="shared" si="0"/>
        <v>0</v>
      </c>
      <c r="O6" s="81">
        <f t="shared" si="0"/>
        <v>0</v>
      </c>
      <c r="P6" s="81">
        <f t="shared" ref="P6:AC6" si="1">(P4/$B$6)</f>
        <v>0.18618821936357483</v>
      </c>
      <c r="Q6" s="81">
        <f t="shared" si="1"/>
        <v>2.3696682464454975E-2</v>
      </c>
      <c r="R6" s="81">
        <f t="shared" si="1"/>
        <v>1.0155721056194989E-2</v>
      </c>
      <c r="S6" s="81">
        <f t="shared" si="1"/>
        <v>1.1848341232227487E-2</v>
      </c>
      <c r="T6" s="81">
        <f t="shared" si="1"/>
        <v>1.1848341232227487E-2</v>
      </c>
      <c r="U6" s="81">
        <f t="shared" si="1"/>
        <v>6.7704807041299936E-3</v>
      </c>
      <c r="V6" s="81">
        <f t="shared" si="1"/>
        <v>5.4163845633039944E-3</v>
      </c>
      <c r="W6" s="81">
        <f t="shared" si="1"/>
        <v>5.0778605280974946E-3</v>
      </c>
      <c r="X6" s="81">
        <f t="shared" si="1"/>
        <v>4.4008124576844958E-3</v>
      </c>
      <c r="Y6" s="81">
        <f t="shared" si="1"/>
        <v>3.3852403520649968E-3</v>
      </c>
      <c r="Z6" s="81">
        <f t="shared" si="1"/>
        <v>3.3852403520649968E-3</v>
      </c>
      <c r="AA6" s="81">
        <f t="shared" si="1"/>
        <v>3.3852403520649968E-3</v>
      </c>
      <c r="AB6" s="81">
        <f t="shared" si="1"/>
        <v>3.3852403520649968E-3</v>
      </c>
      <c r="AC6" s="81">
        <f t="shared" si="1"/>
        <v>3.3852403520649968E-3</v>
      </c>
    </row>
    <row r="7" spans="1:29" x14ac:dyDescent="0.35">
      <c r="A7" s="75" t="s">
        <v>2060</v>
      </c>
      <c r="B7" s="82">
        <f>SUM(C4:H4)</f>
        <v>16500</v>
      </c>
      <c r="C7" s="81">
        <f t="shared" ref="C7:H7" si="2">(C4/$B$7)</f>
        <v>4.5454545454545456E-2</v>
      </c>
      <c r="D7" s="81">
        <f t="shared" si="2"/>
        <v>0.15757575757575756</v>
      </c>
      <c r="E7" s="81">
        <f t="shared" si="2"/>
        <v>6.363636363636363E-2</v>
      </c>
      <c r="F7" s="81">
        <f t="shared" si="2"/>
        <v>0.12727272727272726</v>
      </c>
      <c r="G7" s="81">
        <f t="shared" si="2"/>
        <v>0.51515151515151514</v>
      </c>
      <c r="H7" s="81">
        <f t="shared" si="2"/>
        <v>9.0909090909090912E-2</v>
      </c>
      <c r="I7" s="81"/>
      <c r="J7" s="81"/>
      <c r="K7" s="81"/>
      <c r="L7" s="81"/>
      <c r="M7" s="81"/>
      <c r="N7" s="81"/>
      <c r="O7" s="81"/>
    </row>
    <row r="8" spans="1:29" x14ac:dyDescent="0.35">
      <c r="A8" s="75" t="s">
        <v>2061</v>
      </c>
      <c r="B8" s="82">
        <f>SUM(C4:H4)+P4</f>
        <v>17050</v>
      </c>
      <c r="C8" s="81">
        <f t="shared" ref="C8:H8" si="3">(C4/$B$8)</f>
        <v>4.398826979472141E-2</v>
      </c>
      <c r="D8" s="81">
        <f t="shared" si="3"/>
        <v>0.15249266862170088</v>
      </c>
      <c r="E8" s="81">
        <f t="shared" si="3"/>
        <v>6.1583577712609971E-2</v>
      </c>
      <c r="F8" s="81">
        <f t="shared" si="3"/>
        <v>0.12316715542521994</v>
      </c>
      <c r="G8" s="81">
        <f t="shared" si="3"/>
        <v>0.49853372434017595</v>
      </c>
      <c r="H8" s="81">
        <f t="shared" si="3"/>
        <v>8.797653958944282E-2</v>
      </c>
      <c r="I8" s="81"/>
      <c r="J8" s="81"/>
      <c r="K8" s="81"/>
      <c r="L8" s="81"/>
      <c r="M8" s="81"/>
      <c r="N8" s="81"/>
      <c r="O8" s="81"/>
      <c r="P8" s="81">
        <f>(P4/$B$8)</f>
        <v>3.2258064516129031E-2</v>
      </c>
    </row>
    <row r="9" spans="1:29" x14ac:dyDescent="0.35">
      <c r="A9" s="75" t="s">
        <v>2062</v>
      </c>
      <c r="B9" s="82">
        <f>SUM(C4:P4)</f>
        <v>19170</v>
      </c>
      <c r="C9" s="81">
        <f>$C$4/B9</f>
        <v>3.912363067292645E-2</v>
      </c>
      <c r="D9" s="81">
        <f>D4/B9</f>
        <v>0.13562858633281169</v>
      </c>
      <c r="E9" s="81">
        <f>E4/B9</f>
        <v>5.4773082942097026E-2</v>
      </c>
      <c r="F9" s="81">
        <f>F4/B9</f>
        <v>0.10954616588419405</v>
      </c>
      <c r="G9" s="81">
        <f>G4/B9</f>
        <v>0.44340114762649974</v>
      </c>
      <c r="H9" s="81">
        <f>H4/B9</f>
        <v>7.82472613458529E-2</v>
      </c>
      <c r="I9" s="81">
        <f>I4/B9</f>
        <v>0.11058946270213876</v>
      </c>
      <c r="J9" s="81">
        <f>J4/B9</f>
        <v>0</v>
      </c>
      <c r="K9" s="81">
        <f>K4/B9</f>
        <v>0</v>
      </c>
      <c r="L9" s="81">
        <f>L4/B9</f>
        <v>0</v>
      </c>
      <c r="M9" s="81">
        <f>M4/B9</f>
        <v>0</v>
      </c>
      <c r="N9" s="81">
        <f>N4/B9</f>
        <v>0</v>
      </c>
      <c r="O9" s="81">
        <f>O4/B9</f>
        <v>0</v>
      </c>
      <c r="P9" s="81">
        <f>P4/B9</f>
        <v>2.8690662493479395E-2</v>
      </c>
    </row>
    <row r="10" spans="1:29" x14ac:dyDescent="0.35">
      <c r="A10" s="75" t="s">
        <v>2063</v>
      </c>
      <c r="B10" s="82">
        <f>G4+H4</f>
        <v>10000</v>
      </c>
      <c r="G10" s="81">
        <f>G4/$B$10</f>
        <v>0.85</v>
      </c>
      <c r="H10" s="81">
        <f>H4/$B$10</f>
        <v>0.15</v>
      </c>
      <c r="I10" s="81"/>
      <c r="J10" s="81"/>
      <c r="K10" s="81"/>
      <c r="L10" s="81"/>
      <c r="M10" s="81"/>
      <c r="N10" s="81"/>
      <c r="O10" s="81"/>
    </row>
    <row r="11" spans="1:29" x14ac:dyDescent="0.35">
      <c r="A11" s="75" t="s">
        <v>2064</v>
      </c>
      <c r="B11" s="82">
        <f>SUM(C4:F4)+P4</f>
        <v>7050</v>
      </c>
      <c r="C11" s="85">
        <f>C4/$B$11</f>
        <v>0.10638297872340426</v>
      </c>
      <c r="D11" s="85">
        <f>D4/$B$11</f>
        <v>0.36879432624113473</v>
      </c>
      <c r="E11" s="85">
        <f>E4/$B$11</f>
        <v>0.14893617021276595</v>
      </c>
      <c r="F11" s="85">
        <f>F4/$B$11</f>
        <v>0.2978723404255319</v>
      </c>
      <c r="G11" s="85"/>
      <c r="H11" s="85"/>
      <c r="I11" s="85"/>
      <c r="J11" s="85"/>
      <c r="K11" s="85"/>
      <c r="L11" s="85"/>
      <c r="M11" s="85"/>
      <c r="N11" s="85"/>
      <c r="O11" s="85"/>
      <c r="P11" s="85">
        <f>P4/$B$11</f>
        <v>7.8014184397163122E-2</v>
      </c>
      <c r="Q11" s="75"/>
      <c r="R11" s="75"/>
    </row>
    <row r="12" spans="1:29" x14ac:dyDescent="0.35">
      <c r="A12" s="75" t="s">
        <v>2065</v>
      </c>
      <c r="B12" s="75">
        <f>SUM(Q4:S4)</f>
        <v>135</v>
      </c>
      <c r="Q12" s="81">
        <f>SUM(Q4/$B$12)</f>
        <v>0.51851851851851849</v>
      </c>
      <c r="R12" s="81">
        <f>SUM(R4/$B$12)</f>
        <v>0.22222222222222221</v>
      </c>
      <c r="S12" s="81">
        <f>SUM(S4/$B$12)</f>
        <v>0.25925925925925924</v>
      </c>
    </row>
    <row r="13" spans="1:29" x14ac:dyDescent="0.35">
      <c r="A13" s="75" t="s">
        <v>2066</v>
      </c>
      <c r="B13" s="75">
        <f>SUM(Q4:AC4)</f>
        <v>284</v>
      </c>
      <c r="Q13" s="81">
        <f>Q4/$B$13</f>
        <v>0.24647887323943662</v>
      </c>
      <c r="R13" s="81">
        <f t="shared" ref="R13:AC13" si="4">R4/$B$13</f>
        <v>0.10563380281690141</v>
      </c>
      <c r="S13" s="81">
        <f t="shared" si="4"/>
        <v>0.12323943661971831</v>
      </c>
      <c r="T13" s="81">
        <f t="shared" si="4"/>
        <v>0.12323943661971831</v>
      </c>
      <c r="U13" s="81">
        <f t="shared" si="4"/>
        <v>7.0422535211267609E-2</v>
      </c>
      <c r="V13" s="81">
        <f t="shared" si="4"/>
        <v>5.6338028169014086E-2</v>
      </c>
      <c r="W13" s="81">
        <f t="shared" si="4"/>
        <v>5.2816901408450703E-2</v>
      </c>
      <c r="X13" s="81">
        <f t="shared" si="4"/>
        <v>4.5774647887323945E-2</v>
      </c>
      <c r="Y13" s="81">
        <f t="shared" si="4"/>
        <v>3.5211267605633804E-2</v>
      </c>
      <c r="Z13" s="81">
        <f t="shared" si="4"/>
        <v>3.5211267605633804E-2</v>
      </c>
      <c r="AA13" s="81">
        <f t="shared" si="4"/>
        <v>3.5211267605633804E-2</v>
      </c>
      <c r="AB13" s="81">
        <f t="shared" si="4"/>
        <v>3.5211267605633804E-2</v>
      </c>
      <c r="AC13" s="81">
        <f t="shared" si="4"/>
        <v>3.5211267605633804E-2</v>
      </c>
    </row>
    <row r="14" spans="1:29" x14ac:dyDescent="0.35">
      <c r="A14" s="75" t="s">
        <v>2067</v>
      </c>
      <c r="B14" s="75">
        <f>SUM(P4:R4)</f>
        <v>650</v>
      </c>
      <c r="P14" s="81">
        <f>P4/$B$14</f>
        <v>0.84615384615384615</v>
      </c>
      <c r="Q14" s="81">
        <f>Q4/$B$14</f>
        <v>0.1076923076923077</v>
      </c>
      <c r="R14" s="81">
        <f>R4/$B$14</f>
        <v>4.6153846153846156E-2</v>
      </c>
      <c r="S14" s="81"/>
    </row>
    <row r="15" spans="1:29" x14ac:dyDescent="0.35">
      <c r="A15" s="75" t="s">
        <v>2068</v>
      </c>
      <c r="B15" s="82">
        <f>E4+F4</f>
        <v>3150</v>
      </c>
      <c r="E15" s="81">
        <f>E4/$B$15</f>
        <v>0.33333333333333331</v>
      </c>
      <c r="F15" s="81">
        <f>F4/$B$15</f>
        <v>0.66666666666666663</v>
      </c>
    </row>
    <row r="16" spans="1:29" x14ac:dyDescent="0.35">
      <c r="A16" s="75" t="s">
        <v>2069</v>
      </c>
      <c r="B16" s="82">
        <f>SUM(C4:T4)</f>
        <v>19340</v>
      </c>
      <c r="C16" s="81">
        <f>C4/$B$16</f>
        <v>3.8779731127197521E-2</v>
      </c>
      <c r="D16" s="81">
        <f t="shared" ref="D16:T16" si="5">D4/$B$16</f>
        <v>0.13443640124095141</v>
      </c>
      <c r="E16" s="81">
        <f t="shared" si="5"/>
        <v>5.4291623578076528E-2</v>
      </c>
      <c r="F16" s="81">
        <f t="shared" si="5"/>
        <v>0.10858324715615306</v>
      </c>
      <c r="G16" s="81">
        <f t="shared" si="5"/>
        <v>0.43950361944157185</v>
      </c>
      <c r="H16" s="81">
        <f t="shared" si="5"/>
        <v>7.7559462254395042E-2</v>
      </c>
      <c r="I16" s="81">
        <f t="shared" si="5"/>
        <v>0.10961737331954498</v>
      </c>
      <c r="J16" s="81">
        <f t="shared" si="5"/>
        <v>0</v>
      </c>
      <c r="K16" s="81">
        <f t="shared" si="5"/>
        <v>0</v>
      </c>
      <c r="L16" s="81">
        <f t="shared" si="5"/>
        <v>0</v>
      </c>
      <c r="M16" s="81">
        <f t="shared" si="5"/>
        <v>0</v>
      </c>
      <c r="N16" s="81">
        <f t="shared" si="5"/>
        <v>0</v>
      </c>
      <c r="O16" s="81">
        <f t="shared" si="5"/>
        <v>0</v>
      </c>
      <c r="P16" s="81">
        <f t="shared" si="5"/>
        <v>2.843846949327818E-2</v>
      </c>
      <c r="Q16" s="81">
        <f t="shared" si="5"/>
        <v>3.6194415718717684E-3</v>
      </c>
      <c r="R16" s="81">
        <f t="shared" si="5"/>
        <v>1.5511892450879006E-3</v>
      </c>
      <c r="S16" s="81">
        <f t="shared" si="5"/>
        <v>1.8097207859358842E-3</v>
      </c>
      <c r="T16" s="81">
        <f t="shared" si="5"/>
        <v>1.8097207859358842E-3</v>
      </c>
    </row>
    <row r="17" spans="1:29" x14ac:dyDescent="0.35">
      <c r="A17" s="75" t="s">
        <v>2070</v>
      </c>
      <c r="B17" s="82">
        <f>D4+SUM(P4:U4)</f>
        <v>3340</v>
      </c>
      <c r="D17" s="81">
        <f>D4/$B$17</f>
        <v>0.77844311377245512</v>
      </c>
      <c r="P17" s="81">
        <f t="shared" ref="P17:U17" si="6">P4/$B$17</f>
        <v>0.16467065868263472</v>
      </c>
      <c r="Q17" s="81">
        <f t="shared" si="6"/>
        <v>2.0958083832335328E-2</v>
      </c>
      <c r="R17" s="81">
        <f t="shared" si="6"/>
        <v>8.9820359281437123E-3</v>
      </c>
      <c r="S17" s="81">
        <f t="shared" si="6"/>
        <v>1.0479041916167664E-2</v>
      </c>
      <c r="T17" s="81">
        <f t="shared" si="6"/>
        <v>1.0479041916167664E-2</v>
      </c>
      <c r="U17" s="81">
        <f t="shared" si="6"/>
        <v>5.9880239520958087E-3</v>
      </c>
      <c r="V17" s="81"/>
      <c r="W17" s="81"/>
      <c r="X17" s="81"/>
      <c r="Y17" s="81"/>
      <c r="Z17" s="81"/>
      <c r="AA17" s="81"/>
      <c r="AB17" s="81"/>
      <c r="AC17" s="81"/>
    </row>
    <row r="18" spans="1:29" x14ac:dyDescent="0.35">
      <c r="A18" s="75" t="s">
        <v>2071</v>
      </c>
      <c r="B18" s="82">
        <f>C4+E4+F4</f>
        <v>3900</v>
      </c>
      <c r="C18" s="81">
        <f>C4/$B$18</f>
        <v>0.19230769230769232</v>
      </c>
      <c r="D18" s="81"/>
      <c r="E18" s="81">
        <f>E4/$B$18</f>
        <v>0.26923076923076922</v>
      </c>
      <c r="F18" s="81">
        <f>F4/$B$18</f>
        <v>0.53846153846153844</v>
      </c>
      <c r="P18" s="81"/>
      <c r="Q18" s="81"/>
      <c r="R18" s="81"/>
      <c r="S18" s="81"/>
      <c r="T18" s="81"/>
      <c r="U18" s="81"/>
      <c r="V18" s="81"/>
      <c r="W18" s="81"/>
      <c r="X18" s="81"/>
      <c r="Y18" s="81"/>
      <c r="Z18" s="81"/>
      <c r="AA18" s="81"/>
      <c r="AB18" s="81"/>
      <c r="AC18" s="81"/>
    </row>
    <row r="19" spans="1:29" x14ac:dyDescent="0.35">
      <c r="A19" s="75" t="s">
        <v>2068</v>
      </c>
      <c r="B19" s="82">
        <f>E4+F4</f>
        <v>3150</v>
      </c>
      <c r="E19" s="86">
        <f>E4/B19</f>
        <v>0.33333333333333331</v>
      </c>
      <c r="F19" s="86">
        <f>F4/B19</f>
        <v>0.66666666666666663</v>
      </c>
    </row>
    <row r="20" spans="1:29" x14ac:dyDescent="0.35">
      <c r="A20" s="75" t="s">
        <v>2072</v>
      </c>
      <c r="B20" s="82">
        <f>+P4+Q4+R4+S4+T4+U4</f>
        <v>740</v>
      </c>
      <c r="C20" s="86"/>
      <c r="D20" s="86"/>
      <c r="E20" s="86"/>
      <c r="F20" s="86"/>
      <c r="P20" s="86">
        <f t="shared" ref="P20:U20" si="7">P4/$B$20</f>
        <v>0.7432432432432432</v>
      </c>
      <c r="Q20" s="86">
        <f t="shared" si="7"/>
        <v>9.45945945945946E-2</v>
      </c>
      <c r="R20" s="86">
        <f t="shared" si="7"/>
        <v>4.0540540540540543E-2</v>
      </c>
      <c r="S20" s="86">
        <f t="shared" si="7"/>
        <v>4.72972972972973E-2</v>
      </c>
      <c r="T20" s="86">
        <f t="shared" si="7"/>
        <v>4.72972972972973E-2</v>
      </c>
      <c r="U20" s="86">
        <f t="shared" si="7"/>
        <v>2.7027027027027029E-2</v>
      </c>
    </row>
    <row r="21" spans="1:29" x14ac:dyDescent="0.35">
      <c r="A21" s="75" t="s">
        <v>2073</v>
      </c>
      <c r="B21" s="82">
        <f>SUM(I4:U4)</f>
        <v>2860</v>
      </c>
      <c r="C21" s="86"/>
      <c r="D21" s="86"/>
      <c r="E21" s="86"/>
      <c r="F21" s="86"/>
      <c r="I21" s="86">
        <f>I4/$B$21</f>
        <v>0.74125874125874125</v>
      </c>
      <c r="J21" s="86">
        <f t="shared" ref="J21:U21" si="8">J4/$B$21</f>
        <v>0</v>
      </c>
      <c r="K21" s="86">
        <f t="shared" si="8"/>
        <v>0</v>
      </c>
      <c r="L21" s="86">
        <f t="shared" si="8"/>
        <v>0</v>
      </c>
      <c r="M21" s="86">
        <f t="shared" si="8"/>
        <v>0</v>
      </c>
      <c r="N21" s="86">
        <f t="shared" si="8"/>
        <v>0</v>
      </c>
      <c r="O21" s="86">
        <f t="shared" si="8"/>
        <v>0</v>
      </c>
      <c r="P21" s="86">
        <f t="shared" si="8"/>
        <v>0.19230769230769232</v>
      </c>
      <c r="Q21" s="86">
        <f t="shared" si="8"/>
        <v>2.4475524475524476E-2</v>
      </c>
      <c r="R21" s="86">
        <f t="shared" si="8"/>
        <v>1.048951048951049E-2</v>
      </c>
      <c r="S21" s="86">
        <f t="shared" si="8"/>
        <v>1.2237762237762238E-2</v>
      </c>
      <c r="T21" s="86">
        <f t="shared" si="8"/>
        <v>1.2237762237762238E-2</v>
      </c>
      <c r="U21" s="86">
        <f t="shared" si="8"/>
        <v>6.993006993006993E-3</v>
      </c>
    </row>
    <row r="22" spans="1:29" x14ac:dyDescent="0.35">
      <c r="A22" s="75" t="s">
        <v>2074</v>
      </c>
      <c r="B22" s="82">
        <f>SUM(C4:AC4)</f>
        <v>19454</v>
      </c>
      <c r="C22" s="81">
        <f>C4/$B$22</f>
        <v>3.8552482779891026E-2</v>
      </c>
      <c r="D22" s="81">
        <f t="shared" ref="D22:AC22" si="9">D4/$B$22</f>
        <v>0.13364860697028888</v>
      </c>
      <c r="E22" s="81">
        <f>E4/$B$22</f>
        <v>5.3973475891847436E-2</v>
      </c>
      <c r="F22" s="81">
        <f t="shared" si="9"/>
        <v>0.10794695178369487</v>
      </c>
      <c r="G22" s="81">
        <f t="shared" si="9"/>
        <v>0.4369281381720983</v>
      </c>
      <c r="H22" s="81">
        <f t="shared" si="9"/>
        <v>7.7104965559782052E-2</v>
      </c>
      <c r="I22" s="81">
        <f t="shared" si="9"/>
        <v>0.10897501799115863</v>
      </c>
      <c r="J22" s="81">
        <f t="shared" si="9"/>
        <v>0</v>
      </c>
      <c r="K22" s="81">
        <f t="shared" si="9"/>
        <v>0</v>
      </c>
      <c r="L22" s="81">
        <f t="shared" si="9"/>
        <v>0</v>
      </c>
      <c r="M22" s="81">
        <f t="shared" si="9"/>
        <v>0</v>
      </c>
      <c r="N22" s="81">
        <f t="shared" si="9"/>
        <v>0</v>
      </c>
      <c r="O22" s="81">
        <f t="shared" si="9"/>
        <v>0</v>
      </c>
      <c r="P22" s="81">
        <f t="shared" si="9"/>
        <v>2.8271820705253418E-2</v>
      </c>
      <c r="Q22" s="81">
        <f t="shared" si="9"/>
        <v>3.5982317261231624E-3</v>
      </c>
      <c r="R22" s="81">
        <f t="shared" si="9"/>
        <v>1.542099311195641E-3</v>
      </c>
      <c r="S22" s="81">
        <f t="shared" si="9"/>
        <v>1.7991158630615812E-3</v>
      </c>
      <c r="T22" s="81">
        <f t="shared" si="9"/>
        <v>1.7991158630615812E-3</v>
      </c>
      <c r="U22" s="81">
        <f t="shared" si="9"/>
        <v>1.0280662074637606E-3</v>
      </c>
      <c r="V22" s="81">
        <f t="shared" si="9"/>
        <v>8.2245296597100858E-4</v>
      </c>
      <c r="W22" s="81">
        <f t="shared" si="9"/>
        <v>7.7104965559782049E-4</v>
      </c>
      <c r="X22" s="81">
        <f t="shared" si="9"/>
        <v>6.6824303485144444E-4</v>
      </c>
      <c r="Y22" s="81">
        <f t="shared" si="9"/>
        <v>5.1403310373188029E-4</v>
      </c>
      <c r="Z22" s="81">
        <f t="shared" si="9"/>
        <v>5.1403310373188029E-4</v>
      </c>
      <c r="AA22" s="81">
        <f t="shared" si="9"/>
        <v>5.1403310373188029E-4</v>
      </c>
      <c r="AB22" s="81">
        <f t="shared" si="9"/>
        <v>5.1403310373188029E-4</v>
      </c>
      <c r="AC22" s="81">
        <f t="shared" si="9"/>
        <v>5.1403310373188029E-4</v>
      </c>
    </row>
    <row r="23" spans="1:29" x14ac:dyDescent="0.35">
      <c r="A23" s="75" t="s">
        <v>2075</v>
      </c>
      <c r="B23" s="82">
        <f>C4+D4</f>
        <v>3350</v>
      </c>
      <c r="C23" s="81">
        <f>C4/$B$23</f>
        <v>0.22388059701492538</v>
      </c>
      <c r="D23" s="81">
        <f>D4/$B$23</f>
        <v>0.77611940298507465</v>
      </c>
      <c r="E23" s="81"/>
      <c r="F23" s="81"/>
      <c r="G23" s="81"/>
      <c r="H23" s="81"/>
      <c r="I23" s="81"/>
      <c r="J23" s="81"/>
      <c r="K23" s="81"/>
      <c r="L23" s="81"/>
      <c r="M23" s="81"/>
      <c r="N23" s="81"/>
      <c r="O23" s="81"/>
      <c r="P23" s="81"/>
      <c r="Q23" s="81"/>
      <c r="R23" s="81"/>
      <c r="S23" s="81"/>
      <c r="T23" s="81"/>
      <c r="U23" s="81"/>
      <c r="V23" s="81"/>
      <c r="W23" s="81"/>
      <c r="X23" s="81"/>
      <c r="Y23" s="81"/>
      <c r="Z23" s="81"/>
      <c r="AA23" s="81"/>
      <c r="AB23" s="81"/>
      <c r="AC23" s="81"/>
    </row>
    <row r="24" spans="1:29" x14ac:dyDescent="0.35">
      <c r="A24" s="75" t="s">
        <v>2076</v>
      </c>
      <c r="B24" s="82">
        <f>SUM(I4:O4)</f>
        <v>2120</v>
      </c>
      <c r="C24" s="81"/>
      <c r="D24" s="81"/>
      <c r="E24" s="81"/>
      <c r="F24" s="81"/>
      <c r="G24" s="81"/>
      <c r="H24" s="81"/>
      <c r="I24" s="81">
        <f>I4/$B$24</f>
        <v>1</v>
      </c>
      <c r="J24" s="81">
        <f t="shared" ref="J24:O24" si="10">J4/$B$24</f>
        <v>0</v>
      </c>
      <c r="K24" s="81">
        <f t="shared" si="10"/>
        <v>0</v>
      </c>
      <c r="L24" s="81">
        <f t="shared" si="10"/>
        <v>0</v>
      </c>
      <c r="M24" s="81">
        <f t="shared" si="10"/>
        <v>0</v>
      </c>
      <c r="N24" s="81">
        <f t="shared" si="10"/>
        <v>0</v>
      </c>
      <c r="O24" s="81">
        <f t="shared" si="10"/>
        <v>0</v>
      </c>
      <c r="P24" s="81"/>
      <c r="Q24" s="81"/>
      <c r="R24" s="81"/>
      <c r="S24" s="81"/>
      <c r="T24" s="81"/>
      <c r="U24" s="81"/>
      <c r="V24" s="81"/>
      <c r="W24" s="81"/>
      <c r="X24" s="81"/>
      <c r="Y24" s="81"/>
      <c r="Z24" s="81"/>
      <c r="AA24" s="81"/>
      <c r="AB24" s="81"/>
      <c r="AC24" s="81"/>
    </row>
    <row r="25" spans="1:29" x14ac:dyDescent="0.35">
      <c r="A25" t="s">
        <v>2077</v>
      </c>
    </row>
    <row r="26" spans="1:29" x14ac:dyDescent="0.35">
      <c r="A26" s="75" t="s">
        <v>2078</v>
      </c>
      <c r="B26" s="82">
        <f>D4</f>
        <v>2600</v>
      </c>
      <c r="D26" s="86">
        <f>D4/$B$26</f>
        <v>1</v>
      </c>
    </row>
    <row r="27" spans="1:29" x14ac:dyDescent="0.35">
      <c r="A27" s="75" t="s">
        <v>2079</v>
      </c>
      <c r="B27" s="75">
        <f>P4+Z4</f>
        <v>560</v>
      </c>
      <c r="P27" s="86">
        <f>P4/$B$27</f>
        <v>0.9821428571428571</v>
      </c>
      <c r="Z27" s="86">
        <f>Z4/$B$27</f>
        <v>1.7857142857142856E-2</v>
      </c>
    </row>
    <row r="28" spans="1:29" x14ac:dyDescent="0.35">
      <c r="A28" s="75" t="s">
        <v>2080</v>
      </c>
      <c r="B28" s="75">
        <f>V4</f>
        <v>16</v>
      </c>
      <c r="V28" s="86">
        <f>V4/$B$28</f>
        <v>1</v>
      </c>
    </row>
    <row r="29" spans="1:29" x14ac:dyDescent="0.35">
      <c r="A29" s="75" t="s">
        <v>2081</v>
      </c>
      <c r="B29" s="75">
        <f>T4+X4+AA4</f>
        <v>58</v>
      </c>
      <c r="T29" s="86">
        <f>T4/$B$29</f>
        <v>0.60344827586206895</v>
      </c>
      <c r="X29" s="86">
        <f>X4/$B$29</f>
        <v>0.22413793103448276</v>
      </c>
      <c r="AA29" s="86">
        <f>AA4/$B$29</f>
        <v>0.17241379310344829</v>
      </c>
    </row>
    <row r="30" spans="1:29" x14ac:dyDescent="0.35">
      <c r="A30" s="75" t="s">
        <v>2082</v>
      </c>
      <c r="B30" s="75" t="s">
        <v>2083</v>
      </c>
    </row>
    <row r="31" spans="1:29" x14ac:dyDescent="0.35">
      <c r="A31" s="75" t="s">
        <v>2084</v>
      </c>
      <c r="B31" s="75" t="s">
        <v>2083</v>
      </c>
    </row>
    <row r="32" spans="1:29" x14ac:dyDescent="0.35">
      <c r="A32" s="75" t="s">
        <v>2085</v>
      </c>
      <c r="B32" s="75">
        <f>S4</f>
        <v>35</v>
      </c>
      <c r="S32" s="86">
        <f>S4/$B$32</f>
        <v>1</v>
      </c>
    </row>
    <row r="33" spans="1:29" x14ac:dyDescent="0.35">
      <c r="A33" t="s">
        <v>2086</v>
      </c>
      <c r="B33" s="75"/>
      <c r="S33" s="86"/>
    </row>
    <row r="34" spans="1:29" x14ac:dyDescent="0.35">
      <c r="A34" s="75" t="s">
        <v>2087</v>
      </c>
      <c r="B34" s="75">
        <f>Q4+Y4+AC4</f>
        <v>90</v>
      </c>
      <c r="Q34" s="86">
        <f>Q4/B34</f>
        <v>0.77777777777777779</v>
      </c>
      <c r="R34" s="86"/>
      <c r="S34" s="86"/>
      <c r="T34" s="86"/>
      <c r="U34" s="86"/>
      <c r="V34" s="86"/>
      <c r="W34" s="86"/>
      <c r="X34" s="86"/>
      <c r="Y34" s="86">
        <f>Y4/B34</f>
        <v>0.1111111111111111</v>
      </c>
      <c r="Z34" s="86"/>
      <c r="AA34" s="86"/>
      <c r="AB34" s="86"/>
      <c r="AC34" s="86">
        <f>AC4/B34</f>
        <v>0.1111111111111111</v>
      </c>
    </row>
    <row r="35" spans="1:29" x14ac:dyDescent="0.35">
      <c r="A35" s="75" t="s">
        <v>2088</v>
      </c>
      <c r="B35" s="75">
        <f>U4</f>
        <v>20</v>
      </c>
      <c r="R35" s="86"/>
      <c r="S35" s="86"/>
      <c r="T35" s="86"/>
      <c r="U35" s="86">
        <f>U4/B35</f>
        <v>1</v>
      </c>
    </row>
    <row r="36" spans="1:29" x14ac:dyDescent="0.35">
      <c r="A36" s="75" t="s">
        <v>235</v>
      </c>
      <c r="B36" s="82">
        <f>C4+D4+E4+F4+(SUM(I4:AC5))</f>
        <v>9454</v>
      </c>
      <c r="C36" s="86">
        <f>C4/B36</f>
        <v>7.9331499894224666E-2</v>
      </c>
      <c r="D36" s="86">
        <f>D4/B36</f>
        <v>0.27501586629997882</v>
      </c>
      <c r="E36" s="86">
        <f>E4/B36</f>
        <v>0.11106409985191454</v>
      </c>
      <c r="F36" s="86">
        <f>F4/B36</f>
        <v>0.22212819970382908</v>
      </c>
      <c r="I36" s="86">
        <f>I4/$B$36</f>
        <v>0.22424370636767507</v>
      </c>
      <c r="J36" s="86">
        <f t="shared" ref="J36:AC36" si="11">J4/$B$36</f>
        <v>0</v>
      </c>
      <c r="K36" s="86">
        <f t="shared" si="11"/>
        <v>0</v>
      </c>
      <c r="L36" s="86">
        <f t="shared" si="11"/>
        <v>0</v>
      </c>
      <c r="M36" s="86">
        <f t="shared" si="11"/>
        <v>0</v>
      </c>
      <c r="N36" s="86">
        <f t="shared" si="11"/>
        <v>0</v>
      </c>
      <c r="O36" s="86">
        <f t="shared" si="11"/>
        <v>0</v>
      </c>
      <c r="P36" s="86">
        <f t="shared" si="11"/>
        <v>5.8176433255764756E-2</v>
      </c>
      <c r="Q36" s="86">
        <f t="shared" si="11"/>
        <v>7.4042733234609692E-3</v>
      </c>
      <c r="R36" s="86">
        <f t="shared" si="11"/>
        <v>3.1732599957689867E-3</v>
      </c>
      <c r="S36" s="86">
        <f t="shared" si="11"/>
        <v>3.7021366617304846E-3</v>
      </c>
      <c r="T36" s="86">
        <f t="shared" si="11"/>
        <v>3.7021366617304846E-3</v>
      </c>
      <c r="U36" s="86">
        <f t="shared" si="11"/>
        <v>2.1155066638459913E-3</v>
      </c>
      <c r="V36" s="86">
        <f t="shared" si="11"/>
        <v>1.6924053310767928E-3</v>
      </c>
      <c r="W36" s="86">
        <f t="shared" si="11"/>
        <v>1.5866299978844933E-3</v>
      </c>
      <c r="X36" s="86">
        <f t="shared" si="11"/>
        <v>1.3750793314998941E-3</v>
      </c>
      <c r="Y36" s="86">
        <f t="shared" si="11"/>
        <v>1.0577533319229956E-3</v>
      </c>
      <c r="Z36" s="86">
        <f t="shared" si="11"/>
        <v>1.0577533319229956E-3</v>
      </c>
      <c r="AA36" s="86">
        <f t="shared" si="11"/>
        <v>1.0577533319229956E-3</v>
      </c>
      <c r="AB36" s="86">
        <f t="shared" si="11"/>
        <v>1.0577533319229956E-3</v>
      </c>
      <c r="AC36" s="86">
        <f t="shared" si="11"/>
        <v>1.0577533319229956E-3</v>
      </c>
    </row>
    <row r="37" spans="1:29" x14ac:dyDescent="0.35">
      <c r="A37" s="75" t="s">
        <v>2089</v>
      </c>
      <c r="B37" s="82">
        <f>P4</f>
        <v>550</v>
      </c>
      <c r="C37" s="86"/>
      <c r="D37" s="86"/>
      <c r="E37" s="86"/>
      <c r="F37" s="86"/>
      <c r="I37" s="86"/>
      <c r="J37" s="86"/>
      <c r="K37" s="86"/>
      <c r="L37" s="86"/>
      <c r="M37" s="86"/>
      <c r="N37" s="86"/>
      <c r="O37" s="86"/>
      <c r="P37" s="86">
        <f>P4/B37</f>
        <v>1</v>
      </c>
      <c r="Q37" s="86"/>
      <c r="R37" s="86"/>
      <c r="S37" s="86"/>
      <c r="T37" s="86"/>
      <c r="U37" s="86"/>
      <c r="V37" s="86"/>
      <c r="W37" s="86"/>
      <c r="X37" s="86"/>
      <c r="Y37" s="86"/>
      <c r="Z37" s="86"/>
      <c r="AA37" s="86"/>
      <c r="AB37" s="86"/>
      <c r="AC37" s="86"/>
    </row>
    <row r="38" spans="1:29" x14ac:dyDescent="0.35">
      <c r="A38" s="75" t="s">
        <v>2090</v>
      </c>
      <c r="B38" s="82">
        <f>SUM(Y4,AC4,X4,AA4)</f>
        <v>43</v>
      </c>
      <c r="C38" s="86"/>
      <c r="D38" s="86"/>
      <c r="E38" s="86"/>
      <c r="F38" s="86"/>
      <c r="I38" s="86"/>
      <c r="J38" s="86"/>
      <c r="K38" s="86"/>
      <c r="L38" s="86"/>
      <c r="M38" s="86"/>
      <c r="N38" s="86"/>
      <c r="O38" s="86"/>
      <c r="P38" s="86"/>
      <c r="Q38" s="86"/>
      <c r="R38" s="86"/>
      <c r="S38" s="86"/>
      <c r="T38" s="86"/>
      <c r="U38" s="86"/>
      <c r="V38" s="86"/>
      <c r="W38" s="86"/>
      <c r="X38" s="86">
        <f>X4/B38</f>
        <v>0.30232558139534882</v>
      </c>
      <c r="Y38" s="86">
        <f>Y4/B38</f>
        <v>0.23255813953488372</v>
      </c>
      <c r="Z38" s="86"/>
      <c r="AA38" s="86">
        <f>AA4/B38</f>
        <v>0.23255813953488372</v>
      </c>
      <c r="AB38" s="86"/>
      <c r="AC38" s="86">
        <f>AC4/B38</f>
        <v>0.23255813953488372</v>
      </c>
    </row>
    <row r="39" spans="1:29" x14ac:dyDescent="0.35">
      <c r="A39" s="75" t="s">
        <v>2091</v>
      </c>
      <c r="B39" s="82">
        <f>SUM(V4,T4,AB4,S4)</f>
        <v>96</v>
      </c>
      <c r="C39" s="86"/>
      <c r="D39" s="86"/>
      <c r="E39" s="86"/>
      <c r="F39" s="86"/>
      <c r="I39" s="86"/>
      <c r="J39" s="86"/>
      <c r="K39" s="86"/>
      <c r="L39" s="86"/>
      <c r="M39" s="86"/>
      <c r="N39" s="86"/>
      <c r="O39" s="86"/>
      <c r="P39" s="86"/>
      <c r="Q39" s="86"/>
      <c r="R39" s="86"/>
      <c r="S39" s="86">
        <f>S4/B39</f>
        <v>0.36458333333333331</v>
      </c>
      <c r="T39" s="86">
        <f>T4/B39</f>
        <v>0.36458333333333331</v>
      </c>
      <c r="U39" s="86"/>
      <c r="V39" s="86">
        <f>V4/B39</f>
        <v>0.16666666666666666</v>
      </c>
      <c r="W39" s="86"/>
      <c r="X39" s="86"/>
      <c r="Y39" s="86"/>
      <c r="Z39" s="86"/>
      <c r="AA39" s="86"/>
      <c r="AB39" s="86">
        <f>AB4/B39</f>
        <v>0.10416666666666667</v>
      </c>
      <c r="AC39" s="86"/>
    </row>
    <row r="40" spans="1:29" x14ac:dyDescent="0.35">
      <c r="A40" s="75" t="s">
        <v>2092</v>
      </c>
      <c r="B40" s="75">
        <f>SUM(V4,R4,AB4)</f>
        <v>56</v>
      </c>
      <c r="R40" s="86">
        <f>R4/B40</f>
        <v>0.5357142857142857</v>
      </c>
      <c r="V40" s="86">
        <f>V4/B40</f>
        <v>0.2857142857142857</v>
      </c>
      <c r="AB40" s="86">
        <f>AB4/B40</f>
        <v>0.17857142857142858</v>
      </c>
    </row>
    <row r="41" spans="1:29" s="86" customFormat="1" x14ac:dyDescent="0.35">
      <c r="A41" s="284" t="s">
        <v>2093</v>
      </c>
      <c r="B41" s="75">
        <f>SUM(Z4,V4,W4,U4,R4)</f>
        <v>91</v>
      </c>
      <c r="R41" s="86">
        <f>R4/B41</f>
        <v>0.32967032967032966</v>
      </c>
      <c r="U41" s="86">
        <f>U4/B41</f>
        <v>0.21978021978021978</v>
      </c>
      <c r="V41" s="86">
        <f>V4/B41</f>
        <v>0.17582417582417584</v>
      </c>
      <c r="W41" s="86">
        <f>W4/B41</f>
        <v>0.16483516483516483</v>
      </c>
      <c r="Z41" s="86">
        <f>Z4/B41</f>
        <v>0.10989010989010989</v>
      </c>
    </row>
    <row r="42" spans="1:29" x14ac:dyDescent="0.35">
      <c r="A42" s="75" t="s">
        <v>2094</v>
      </c>
      <c r="B42" s="75">
        <f>SUM(Q4,AC4)</f>
        <v>80</v>
      </c>
      <c r="P42" s="86"/>
      <c r="Q42" s="86">
        <f>Q4/B42</f>
        <v>0.875</v>
      </c>
      <c r="R42" s="86"/>
      <c r="S42" s="86"/>
      <c r="T42" s="86"/>
      <c r="U42" s="86"/>
      <c r="V42" s="86"/>
      <c r="W42" s="86"/>
      <c r="X42" s="86"/>
      <c r="Y42" s="86"/>
      <c r="Z42" s="86"/>
      <c r="AA42" s="86"/>
      <c r="AB42" s="86"/>
      <c r="AC42" s="86">
        <f>AC4/B42</f>
        <v>0.125</v>
      </c>
    </row>
    <row r="43" spans="1:29" x14ac:dyDescent="0.35">
      <c r="A43" s="75" t="s">
        <v>2095</v>
      </c>
      <c r="B43" s="75">
        <f>SUM(X4,AA4,T4,S4)</f>
        <v>93</v>
      </c>
      <c r="P43" s="86"/>
      <c r="Q43" s="86"/>
      <c r="R43" s="86"/>
      <c r="S43" s="86">
        <f>S4/B43</f>
        <v>0.37634408602150538</v>
      </c>
      <c r="T43" s="86">
        <f>T4/B43</f>
        <v>0.37634408602150538</v>
      </c>
      <c r="U43" s="86"/>
      <c r="V43" s="86"/>
      <c r="W43" s="86"/>
      <c r="X43" s="86">
        <f>X4/B43</f>
        <v>0.13978494623655913</v>
      </c>
      <c r="Y43" s="86"/>
      <c r="Z43" s="86"/>
      <c r="AA43" s="86">
        <f>AA4/B43</f>
        <v>0.10752688172043011</v>
      </c>
      <c r="AB43" s="86"/>
      <c r="AC43" s="86"/>
    </row>
    <row r="44" spans="1:29" x14ac:dyDescent="0.35">
      <c r="A44" s="75" t="s">
        <v>2096</v>
      </c>
      <c r="B44" s="280">
        <f>C4+D4+E4+F4++I4+J4+K4+L4+M4+N4+O4+P4</f>
        <v>9170</v>
      </c>
      <c r="C44" s="86">
        <f>C4/$B$44</f>
        <v>8.1788440567066523E-2</v>
      </c>
      <c r="D44" s="86">
        <f>D4/$B$44</f>
        <v>0.28353326063249729</v>
      </c>
      <c r="E44" s="86">
        <f t="shared" ref="E44:O44" si="12">E4/$B$44</f>
        <v>0.11450381679389313</v>
      </c>
      <c r="F44" s="86">
        <f t="shared" si="12"/>
        <v>0.22900763358778625</v>
      </c>
      <c r="G44" s="86"/>
      <c r="H44" s="86"/>
      <c r="I44" s="86">
        <f t="shared" si="12"/>
        <v>0.23118865866957469</v>
      </c>
      <c r="J44" s="86">
        <f t="shared" si="12"/>
        <v>0</v>
      </c>
      <c r="K44" s="86">
        <f t="shared" si="12"/>
        <v>0</v>
      </c>
      <c r="L44" s="86">
        <f t="shared" si="12"/>
        <v>0</v>
      </c>
      <c r="M44" s="86">
        <f t="shared" si="12"/>
        <v>0</v>
      </c>
      <c r="N44" s="86">
        <f t="shared" si="12"/>
        <v>0</v>
      </c>
      <c r="O44" s="86">
        <f t="shared" si="12"/>
        <v>0</v>
      </c>
      <c r="P44" s="86">
        <f>P4/$B$44</f>
        <v>5.9978189749182113E-2</v>
      </c>
    </row>
    <row r="45" spans="1:29" x14ac:dyDescent="0.35">
      <c r="A45" s="75" t="s">
        <v>2097</v>
      </c>
      <c r="B45" s="280">
        <f>C4+D4+E4+F4+I4+J4+K4+L4+M4+N4+O4+P4+Q4+R4+S4+T4+U4+V4+W4+X4+Y4+Z4+AA4+AB4+AC4</f>
        <v>9454</v>
      </c>
      <c r="C45" s="86">
        <f>C4/$B$45</f>
        <v>7.9331499894224666E-2</v>
      </c>
      <c r="D45" s="86">
        <f t="shared" ref="D45:AC45" si="13">D4/$B$45</f>
        <v>0.27501586629997882</v>
      </c>
      <c r="E45" s="86">
        <f t="shared" si="13"/>
        <v>0.11106409985191454</v>
      </c>
      <c r="F45" s="86">
        <f t="shared" si="13"/>
        <v>0.22212819970382908</v>
      </c>
      <c r="G45" s="86"/>
      <c r="H45" s="86"/>
      <c r="I45" s="86">
        <f t="shared" si="13"/>
        <v>0.22424370636767507</v>
      </c>
      <c r="J45" s="86">
        <f t="shared" si="13"/>
        <v>0</v>
      </c>
      <c r="K45" s="86">
        <f t="shared" si="13"/>
        <v>0</v>
      </c>
      <c r="L45" s="86">
        <f t="shared" si="13"/>
        <v>0</v>
      </c>
      <c r="M45" s="86">
        <f t="shared" si="13"/>
        <v>0</v>
      </c>
      <c r="N45" s="86">
        <f t="shared" si="13"/>
        <v>0</v>
      </c>
      <c r="O45" s="86">
        <f t="shared" si="13"/>
        <v>0</v>
      </c>
      <c r="P45" s="86">
        <f t="shared" si="13"/>
        <v>5.8176433255764756E-2</v>
      </c>
      <c r="Q45" s="86">
        <f t="shared" si="13"/>
        <v>7.4042733234609692E-3</v>
      </c>
      <c r="R45" s="86">
        <f t="shared" si="13"/>
        <v>3.1732599957689867E-3</v>
      </c>
      <c r="S45" s="86">
        <f t="shared" si="13"/>
        <v>3.7021366617304846E-3</v>
      </c>
      <c r="T45" s="86">
        <f t="shared" si="13"/>
        <v>3.7021366617304846E-3</v>
      </c>
      <c r="U45" s="86">
        <f t="shared" si="13"/>
        <v>2.1155066638459913E-3</v>
      </c>
      <c r="V45" s="86">
        <f t="shared" si="13"/>
        <v>1.6924053310767928E-3</v>
      </c>
      <c r="W45" s="86">
        <f t="shared" si="13"/>
        <v>1.5866299978844933E-3</v>
      </c>
      <c r="X45" s="86">
        <f t="shared" si="13"/>
        <v>1.3750793314998941E-3</v>
      </c>
      <c r="Y45" s="86">
        <f t="shared" si="13"/>
        <v>1.0577533319229956E-3</v>
      </c>
      <c r="Z45" s="86">
        <f t="shared" si="13"/>
        <v>1.0577533319229956E-3</v>
      </c>
      <c r="AA45" s="86">
        <f t="shared" si="13"/>
        <v>1.0577533319229956E-3</v>
      </c>
      <c r="AB45" s="86">
        <f t="shared" si="13"/>
        <v>1.0577533319229956E-3</v>
      </c>
      <c r="AC45" s="86">
        <f t="shared" si="13"/>
        <v>1.0577533319229956E-3</v>
      </c>
    </row>
    <row r="46" spans="1:29" x14ac:dyDescent="0.35">
      <c r="A46" s="292" t="s">
        <v>2098</v>
      </c>
      <c r="B46" s="293"/>
      <c r="C46" s="294">
        <f>(0.1/3350)*C4</f>
        <v>2.2388059701492539E-2</v>
      </c>
      <c r="D46" s="294">
        <f>(0.1/3350)*D4</f>
        <v>7.7611940298507459E-2</v>
      </c>
      <c r="E46" s="294">
        <v>0.04</v>
      </c>
      <c r="F46" s="294">
        <v>0.05</v>
      </c>
      <c r="G46" s="294">
        <v>0.66300000000000003</v>
      </c>
      <c r="H46" s="294">
        <v>0.11700000000000001</v>
      </c>
      <c r="I46" s="293"/>
      <c r="J46" s="293"/>
      <c r="K46" s="293"/>
      <c r="L46" s="293"/>
      <c r="M46" s="293"/>
      <c r="N46" s="293"/>
    </row>
    <row r="47" spans="1:29" x14ac:dyDescent="0.35">
      <c r="A47" s="75" t="s">
        <v>2099</v>
      </c>
      <c r="B47" s="280">
        <f>E4+F4+P4</f>
        <v>3700</v>
      </c>
      <c r="E47" s="86">
        <f>E4/$B$47</f>
        <v>0.28378378378378377</v>
      </c>
      <c r="F47" s="86">
        <f>F4/$B$47</f>
        <v>0.56756756756756754</v>
      </c>
      <c r="P47" s="86">
        <f>P4/$B$47</f>
        <v>0.14864864864864866</v>
      </c>
    </row>
    <row r="48" spans="1:29" x14ac:dyDescent="0.35">
      <c r="A48" s="75" t="s">
        <v>2100</v>
      </c>
      <c r="B48">
        <f>F4+P4</f>
        <v>2650</v>
      </c>
      <c r="F48" s="86">
        <f>F4/$B$48</f>
        <v>0.79245283018867929</v>
      </c>
      <c r="P48" s="86">
        <f>P4/$B$48</f>
        <v>0.20754716981132076</v>
      </c>
    </row>
    <row r="49" spans="1:29" x14ac:dyDescent="0.35">
      <c r="A49" s="75" t="s">
        <v>2101</v>
      </c>
      <c r="B49">
        <f>SUM(P4:AC4)</f>
        <v>834</v>
      </c>
      <c r="P49" s="86">
        <f>P4/$B$49</f>
        <v>0.65947242206235013</v>
      </c>
    </row>
    <row r="50" spans="1:29" x14ac:dyDescent="0.35">
      <c r="A50" s="75" t="s">
        <v>2102</v>
      </c>
    </row>
    <row r="51" spans="1:29" x14ac:dyDescent="0.35">
      <c r="A51" s="75" t="s">
        <v>2103</v>
      </c>
      <c r="B51">
        <v>17000</v>
      </c>
      <c r="C51" s="81">
        <f>($C$4/$B$51)</f>
        <v>4.4117647058823532E-2</v>
      </c>
      <c r="D51" s="81">
        <f>($D$4/$B$51)</f>
        <v>0.15294117647058825</v>
      </c>
      <c r="E51" s="81">
        <f>($E$4/$B$51)</f>
        <v>6.1764705882352944E-2</v>
      </c>
      <c r="F51" s="81">
        <f>($F$4/$B$51)</f>
        <v>0.12352941176470589</v>
      </c>
      <c r="G51" s="81">
        <f>($G$4/$B$51)</f>
        <v>0.5</v>
      </c>
      <c r="H51" s="81">
        <f>($H$4/$B$51)</f>
        <v>8.8235294117647065E-2</v>
      </c>
      <c r="P51" s="81">
        <f>($P$4/$B$51)</f>
        <v>3.2352941176470591E-2</v>
      </c>
    </row>
    <row r="52" spans="1:29" x14ac:dyDescent="0.35">
      <c r="A52" t="s">
        <v>905</v>
      </c>
      <c r="B52" s="280">
        <f>G4+H4</f>
        <v>10000</v>
      </c>
      <c r="G52" s="81">
        <v>0.63257575757575801</v>
      </c>
      <c r="H52" s="81">
        <v>0.36742424242424199</v>
      </c>
    </row>
    <row r="53" spans="1:29" x14ac:dyDescent="0.35">
      <c r="A53" s="75" t="s">
        <v>2104</v>
      </c>
      <c r="B53" s="280"/>
      <c r="G53" s="86">
        <v>0.90909090000000004</v>
      </c>
      <c r="H53" s="86">
        <v>9.0909089999999998E-2</v>
      </c>
    </row>
    <row r="54" spans="1:29" x14ac:dyDescent="0.35">
      <c r="A54" s="75" t="s">
        <v>2105</v>
      </c>
      <c r="B54">
        <v>16500</v>
      </c>
      <c r="C54" s="81">
        <f>(C4/$B$7)</f>
        <v>4.5454545454545456E-2</v>
      </c>
      <c r="D54" s="81">
        <f t="shared" ref="D54:H54" si="14">(D4/$B$7)</f>
        <v>0.15757575757575756</v>
      </c>
      <c r="E54" s="81">
        <f t="shared" si="14"/>
        <v>6.363636363636363E-2</v>
      </c>
      <c r="F54" s="81">
        <f t="shared" si="14"/>
        <v>0.12727272727272726</v>
      </c>
      <c r="G54" s="81">
        <f t="shared" si="14"/>
        <v>0.51515151515151514</v>
      </c>
      <c r="H54" s="81">
        <f t="shared" si="14"/>
        <v>9.0909090909090912E-2</v>
      </c>
    </row>
    <row r="55" spans="1:29" x14ac:dyDescent="0.35">
      <c r="A55" s="75" t="s">
        <v>899</v>
      </c>
      <c r="B55">
        <v>10000</v>
      </c>
      <c r="G55" s="86">
        <v>0.7450005237273426</v>
      </c>
      <c r="H55" s="86">
        <v>0.25499947627265745</v>
      </c>
    </row>
    <row r="56" spans="1:29" x14ac:dyDescent="0.35">
      <c r="A56" s="75" t="s">
        <v>2106</v>
      </c>
      <c r="B56">
        <v>10000</v>
      </c>
      <c r="G56" s="86">
        <f>G4/B56</f>
        <v>0.85</v>
      </c>
      <c r="H56" s="86">
        <f>H4/B56</f>
        <v>0.15</v>
      </c>
    </row>
    <row r="57" spans="1:29" x14ac:dyDescent="0.35">
      <c r="A57" s="75" t="s">
        <v>2107</v>
      </c>
      <c r="B57" s="82">
        <f>SUM(C4:H4)+P4</f>
        <v>17050</v>
      </c>
      <c r="C57" s="81">
        <f>C4/B57</f>
        <v>4.398826979472141E-2</v>
      </c>
      <c r="D57" s="81">
        <f>D4/B57</f>
        <v>0.15249266862170088</v>
      </c>
      <c r="E57" s="81">
        <f>E4/B57</f>
        <v>6.1583577712609971E-2</v>
      </c>
      <c r="F57" s="81">
        <f>F4/B57</f>
        <v>0.12316715542521994</v>
      </c>
      <c r="G57" s="81">
        <f>G4/B57</f>
        <v>0.49853372434017595</v>
      </c>
      <c r="H57" s="81">
        <f>H4/B57</f>
        <v>8.797653958944282E-2</v>
      </c>
      <c r="I57" s="81"/>
      <c r="J57" s="81"/>
      <c r="K57" s="81"/>
      <c r="L57" s="81"/>
      <c r="M57" s="81"/>
      <c r="N57" s="81"/>
      <c r="O57" s="81"/>
      <c r="P57" s="81">
        <f>P4/B57</f>
        <v>3.2258064516129031E-2</v>
      </c>
    </row>
    <row r="59" spans="1:29" x14ac:dyDescent="0.35">
      <c r="A59" s="75" t="s">
        <v>2074</v>
      </c>
      <c r="B59">
        <v>19454</v>
      </c>
      <c r="C59" s="745">
        <f>C4/B59</f>
        <v>3.8552482779891026E-2</v>
      </c>
      <c r="D59" s="745">
        <f>D4/B59</f>
        <v>0.13364860697028888</v>
      </c>
      <c r="E59" s="745">
        <f>E4/B59</f>
        <v>5.3973475891847436E-2</v>
      </c>
      <c r="F59" s="745">
        <f>F4/B59</f>
        <v>0.10794695178369487</v>
      </c>
      <c r="G59" s="745">
        <f>G4/B59</f>
        <v>0.4369281381720983</v>
      </c>
      <c r="H59" s="745">
        <f>H4/B59</f>
        <v>7.7104965559782052E-2</v>
      </c>
      <c r="I59" s="745">
        <f>I4/B59</f>
        <v>0.10897501799115863</v>
      </c>
      <c r="J59" s="745">
        <f>J4/B59</f>
        <v>0</v>
      </c>
      <c r="K59" s="745">
        <f>K4/B59</f>
        <v>0</v>
      </c>
      <c r="L59" s="745">
        <f>L4/B59</f>
        <v>0</v>
      </c>
      <c r="M59" s="745">
        <f>M4/B59</f>
        <v>0</v>
      </c>
      <c r="N59" s="745">
        <f>N4/B59</f>
        <v>0</v>
      </c>
      <c r="O59" s="745">
        <f>O4/B59</f>
        <v>0</v>
      </c>
      <c r="P59" s="745">
        <f>P4/B59</f>
        <v>2.8271820705253418E-2</v>
      </c>
      <c r="Q59" s="745">
        <f>Q4/B59</f>
        <v>3.5982317261231624E-3</v>
      </c>
      <c r="R59" s="745">
        <f>R4/B59</f>
        <v>1.542099311195641E-3</v>
      </c>
      <c r="S59" s="745">
        <f>S4/B59</f>
        <v>1.7991158630615812E-3</v>
      </c>
      <c r="T59" s="745">
        <f>T4/B59</f>
        <v>1.7991158630615812E-3</v>
      </c>
      <c r="U59" s="745">
        <f>U4/B59</f>
        <v>1.0280662074637606E-3</v>
      </c>
      <c r="V59" s="745">
        <f>V4/B59</f>
        <v>8.2245296597100858E-4</v>
      </c>
      <c r="W59" s="745">
        <f>W4/B59</f>
        <v>7.7104965559782049E-4</v>
      </c>
      <c r="X59" s="745">
        <f>X4/B59</f>
        <v>6.6824303485144444E-4</v>
      </c>
      <c r="Y59" s="745">
        <f>Y4/B59</f>
        <v>5.1403310373188029E-4</v>
      </c>
      <c r="Z59" s="745">
        <f>Z4/B59</f>
        <v>5.1403310373188029E-4</v>
      </c>
      <c r="AA59" s="745">
        <f>AA4/B59</f>
        <v>5.1403310373188029E-4</v>
      </c>
      <c r="AB59" s="745">
        <f>AB4/B59</f>
        <v>5.1403310373188029E-4</v>
      </c>
      <c r="AC59" s="745">
        <f>AC4/B59</f>
        <v>5.1403310373188029E-4</v>
      </c>
    </row>
    <row r="80" spans="10:12" x14ac:dyDescent="0.35">
      <c r="J80" s="1587"/>
      <c r="K80" s="1587"/>
      <c r="L80" s="1587"/>
    </row>
    <row r="82" spans="9:12" x14ac:dyDescent="0.35">
      <c r="K82" s="1588"/>
      <c r="L82" s="1588"/>
    </row>
    <row r="83" spans="9:12" x14ac:dyDescent="0.35">
      <c r="K83" s="1588"/>
      <c r="L83" s="1588"/>
    </row>
    <row r="92" spans="9:12" x14ac:dyDescent="0.35">
      <c r="I92" s="746"/>
      <c r="J92" s="746"/>
      <c r="K92" s="746"/>
    </row>
  </sheetData>
  <customSheetViews>
    <customSheetView guid="{ABA5F389-8542-4AF6-A0AD-26EEBCFE7D39}" scale="90" hiddenRows="1">
      <selection activeCell="O21" sqref="O21"/>
      <pageMargins left="0" right="0" top="0" bottom="0" header="0" footer="0"/>
      <pageSetup paperSize="9" orientation="portrait" r:id="rId1"/>
    </customSheetView>
    <customSheetView guid="{7F5519A9-88A7-46CA-B363-24A705583E19}" scale="90" hiddenRows="1">
      <selection activeCell="E33" sqref="E33"/>
      <pageMargins left="0" right="0" top="0" bottom="0" header="0" footer="0"/>
      <pageSetup paperSize="9" orientation="portrait" r:id="rId2"/>
    </customSheetView>
    <customSheetView guid="{6738F3FF-F6BA-46E6-AB73-DE51CDA2C60E}" scale="90" hiddenRows="1">
      <selection activeCell="O21" sqref="O21"/>
      <pageMargins left="0" right="0" top="0" bottom="0" header="0" footer="0"/>
      <pageSetup paperSize="9" orientation="portrait" r:id="rId3"/>
    </customSheetView>
    <customSheetView guid="{B31C465B-3C98-4FE7-ABEA-33FC9674B3E4}" scale="90" hiddenRows="1">
      <selection activeCell="O21" sqref="O21"/>
      <pageMargins left="0" right="0" top="0" bottom="0" header="0" footer="0"/>
      <pageSetup paperSize="9" orientation="portrait" r:id="rId4"/>
    </customSheetView>
  </customSheetViews>
  <mergeCells count="3">
    <mergeCell ref="J80:L80"/>
    <mergeCell ref="K82:L82"/>
    <mergeCell ref="K83:L83"/>
  </mergeCells>
  <phoneticPr fontId="30" type="noConversion"/>
  <pageMargins left="0.7" right="0.7" top="0.75" bottom="0.75" header="0.3" footer="0.3"/>
  <pageSetup paperSize="9" orientation="portrait"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B2:N59"/>
  <sheetViews>
    <sheetView topLeftCell="A28" zoomScaleNormal="100" workbookViewId="0">
      <selection activeCell="B43" sqref="B43"/>
    </sheetView>
  </sheetViews>
  <sheetFormatPr defaultRowHeight="14.5" x14ac:dyDescent="0.35"/>
  <cols>
    <col min="1" max="1" width="5.90625" customWidth="1"/>
    <col min="2" max="2" width="25.90625" customWidth="1"/>
    <col min="3" max="4" width="20.90625" customWidth="1"/>
    <col min="5" max="5" width="50.90625" customWidth="1"/>
    <col min="6" max="6" width="60.90625" customWidth="1"/>
    <col min="7" max="7" width="20.90625" customWidth="1"/>
    <col min="8" max="9" width="25.90625" customWidth="1"/>
    <col min="10" max="10" width="20.90625" customWidth="1"/>
    <col min="11" max="11" width="15.90625" customWidth="1"/>
    <col min="14" max="14" width="11.08984375" bestFit="1" customWidth="1"/>
  </cols>
  <sheetData>
    <row r="2" spans="2:11" x14ac:dyDescent="0.35">
      <c r="B2" s="75" t="s">
        <v>2108</v>
      </c>
    </row>
    <row r="4" spans="2:11" x14ac:dyDescent="0.35">
      <c r="B4" s="296" t="s">
        <v>2109</v>
      </c>
      <c r="C4" s="296" t="s">
        <v>2110</v>
      </c>
      <c r="D4" s="296" t="s">
        <v>2111</v>
      </c>
      <c r="E4" s="296" t="s">
        <v>2112</v>
      </c>
      <c r="F4" s="296" t="s">
        <v>2113</v>
      </c>
      <c r="G4" s="296" t="s">
        <v>2114</v>
      </c>
      <c r="H4" s="296" t="s">
        <v>2115</v>
      </c>
      <c r="I4" s="296" t="s">
        <v>2116</v>
      </c>
      <c r="J4" s="296" t="s">
        <v>2117</v>
      </c>
      <c r="K4" s="296" t="s">
        <v>2118</v>
      </c>
    </row>
    <row r="5" spans="2:11" x14ac:dyDescent="0.35">
      <c r="B5" s="7" t="s">
        <v>2119</v>
      </c>
      <c r="C5" s="297">
        <v>7500</v>
      </c>
      <c r="D5" s="7" t="s">
        <v>2120</v>
      </c>
      <c r="E5" s="681" t="s">
        <v>2121</v>
      </c>
      <c r="F5" s="7" t="s">
        <v>2122</v>
      </c>
      <c r="G5" s="7" t="s">
        <v>2123</v>
      </c>
      <c r="H5" s="681">
        <v>155</v>
      </c>
      <c r="I5" s="681">
        <v>170</v>
      </c>
      <c r="J5" s="297">
        <f>C5*(I5/H5)</f>
        <v>8225.8064516129034</v>
      </c>
      <c r="K5" s="665">
        <f>(J5-C5)/C5*1</f>
        <v>9.6774193548387122E-2</v>
      </c>
    </row>
    <row r="6" spans="2:11" x14ac:dyDescent="0.35">
      <c r="B6" s="7" t="s">
        <v>2124</v>
      </c>
      <c r="C6" s="297">
        <v>15400000</v>
      </c>
      <c r="D6" s="7" t="s">
        <v>2123</v>
      </c>
      <c r="E6" s="681" t="s">
        <v>2121</v>
      </c>
      <c r="F6" s="7" t="s">
        <v>2122</v>
      </c>
      <c r="G6" s="7" t="s">
        <v>2123</v>
      </c>
      <c r="H6" s="681">
        <v>170</v>
      </c>
      <c r="I6" s="681">
        <v>170</v>
      </c>
      <c r="J6" s="297">
        <f>C6*(I6/H6)</f>
        <v>15400000</v>
      </c>
      <c r="K6" s="665">
        <f>(J6-C6)/C6*1</f>
        <v>0</v>
      </c>
    </row>
    <row r="7" spans="2:11" x14ac:dyDescent="0.35">
      <c r="B7" s="7" t="s">
        <v>2125</v>
      </c>
      <c r="C7" s="297">
        <v>38075000</v>
      </c>
      <c r="D7" s="7" t="s">
        <v>2123</v>
      </c>
      <c r="E7" s="681" t="s">
        <v>2121</v>
      </c>
      <c r="F7" s="7" t="s">
        <v>2122</v>
      </c>
      <c r="G7" s="7" t="s">
        <v>2123</v>
      </c>
      <c r="H7" s="681">
        <v>170</v>
      </c>
      <c r="I7" s="681">
        <v>170</v>
      </c>
      <c r="J7" s="297">
        <f>C7*(I7/H7)</f>
        <v>38075000</v>
      </c>
      <c r="K7" s="665">
        <f>(J7-C7)/C7*1</f>
        <v>0</v>
      </c>
    </row>
    <row r="8" spans="2:11" x14ac:dyDescent="0.35">
      <c r="B8" s="7" t="s">
        <v>2126</v>
      </c>
      <c r="C8" s="297">
        <v>37726000</v>
      </c>
      <c r="D8" s="7" t="s">
        <v>2127</v>
      </c>
      <c r="E8" s="681" t="s">
        <v>2121</v>
      </c>
      <c r="F8" s="7" t="s">
        <v>2122</v>
      </c>
      <c r="G8" s="7" t="s">
        <v>2123</v>
      </c>
      <c r="H8" s="681">
        <v>163</v>
      </c>
      <c r="I8" s="681">
        <v>170</v>
      </c>
      <c r="J8" s="297">
        <f t="shared" ref="J8:J17" si="0">C8*(I8/H8)</f>
        <v>39346134.969325155</v>
      </c>
      <c r="K8" s="665">
        <f t="shared" ref="K8:K17" si="1">(J8-C8)/C8*1</f>
        <v>4.2944785276073663E-2</v>
      </c>
    </row>
    <row r="9" spans="2:11" x14ac:dyDescent="0.35">
      <c r="B9" s="7" t="s">
        <v>2128</v>
      </c>
      <c r="C9" s="297">
        <f>47299000</f>
        <v>47299000</v>
      </c>
      <c r="D9" s="7" t="s">
        <v>2129</v>
      </c>
      <c r="E9" s="681" t="s">
        <v>2121</v>
      </c>
      <c r="F9" s="7" t="s">
        <v>2122</v>
      </c>
      <c r="G9" s="7" t="s">
        <v>2123</v>
      </c>
      <c r="H9" s="681">
        <v>147</v>
      </c>
      <c r="I9" s="681">
        <v>170</v>
      </c>
      <c r="J9" s="297">
        <f t="shared" si="0"/>
        <v>54699523.809523806</v>
      </c>
      <c r="K9" s="665">
        <f t="shared" si="1"/>
        <v>0.15646258503401353</v>
      </c>
    </row>
    <row r="10" spans="2:11" x14ac:dyDescent="0.35">
      <c r="B10" s="7" t="s">
        <v>2130</v>
      </c>
      <c r="C10" s="297">
        <v>7561191</v>
      </c>
      <c r="D10" s="7" t="s">
        <v>2127</v>
      </c>
      <c r="E10" s="681" t="s">
        <v>2121</v>
      </c>
      <c r="F10" s="7" t="s">
        <v>2122</v>
      </c>
      <c r="G10" s="7" t="s">
        <v>2123</v>
      </c>
      <c r="H10" s="681">
        <v>163</v>
      </c>
      <c r="I10" s="681">
        <v>170</v>
      </c>
      <c r="J10" s="297">
        <f t="shared" ref="J10" si="2">C10*(I10/H10)</f>
        <v>7885904.7239263803</v>
      </c>
      <c r="K10" s="665">
        <f t="shared" ref="K10" si="3">(J10-C10)/C10*1</f>
        <v>4.2944785276073608E-2</v>
      </c>
    </row>
    <row r="11" spans="2:11" x14ac:dyDescent="0.35">
      <c r="B11" s="7" t="s">
        <v>574</v>
      </c>
      <c r="C11" s="297">
        <f>41032000+13886000</f>
        <v>54918000</v>
      </c>
      <c r="D11" s="7" t="s">
        <v>2127</v>
      </c>
      <c r="E11" s="681" t="s">
        <v>2121</v>
      </c>
      <c r="F11" s="7" t="s">
        <v>2122</v>
      </c>
      <c r="G11" s="7" t="s">
        <v>2123</v>
      </c>
      <c r="H11" s="681">
        <v>163</v>
      </c>
      <c r="I11" s="681">
        <v>170</v>
      </c>
      <c r="J11" s="297">
        <f t="shared" si="0"/>
        <v>57276441.717791408</v>
      </c>
      <c r="K11" s="665">
        <f t="shared" si="1"/>
        <v>4.2944785276073573E-2</v>
      </c>
    </row>
    <row r="12" spans="2:11" x14ac:dyDescent="0.35">
      <c r="B12" s="7" t="s">
        <v>2131</v>
      </c>
      <c r="C12" s="725">
        <v>9285535</v>
      </c>
      <c r="D12" s="7" t="s">
        <v>2127</v>
      </c>
      <c r="E12" s="681" t="s">
        <v>2121</v>
      </c>
      <c r="F12" s="7" t="s">
        <v>2122</v>
      </c>
      <c r="G12" s="7" t="s">
        <v>2123</v>
      </c>
      <c r="H12" s="681">
        <v>163</v>
      </c>
      <c r="I12" s="681">
        <v>170</v>
      </c>
      <c r="J12" s="297">
        <f t="shared" si="0"/>
        <v>9684300.3067484666</v>
      </c>
      <c r="K12" s="665">
        <f t="shared" si="1"/>
        <v>4.2944785276073656E-2</v>
      </c>
    </row>
    <row r="13" spans="2:11" x14ac:dyDescent="0.35">
      <c r="B13" s="7" t="s">
        <v>2132</v>
      </c>
      <c r="C13" s="725">
        <v>11715862</v>
      </c>
      <c r="D13" s="7" t="s">
        <v>2127</v>
      </c>
      <c r="E13" s="681" t="s">
        <v>2121</v>
      </c>
      <c r="F13" s="7" t="s">
        <v>2122</v>
      </c>
      <c r="G13" s="7" t="s">
        <v>2123</v>
      </c>
      <c r="H13" s="681">
        <v>163</v>
      </c>
      <c r="I13" s="681">
        <v>170</v>
      </c>
      <c r="J13" s="297">
        <f t="shared" si="0"/>
        <v>12218997.177914111</v>
      </c>
      <c r="K13" s="665">
        <f t="shared" si="1"/>
        <v>4.2944785276073663E-2</v>
      </c>
    </row>
    <row r="14" spans="2:11" x14ac:dyDescent="0.35">
      <c r="B14" s="7" t="s">
        <v>2133</v>
      </c>
      <c r="C14" s="725">
        <v>12039759</v>
      </c>
      <c r="D14" s="7" t="s">
        <v>2127</v>
      </c>
      <c r="E14" s="681" t="s">
        <v>2121</v>
      </c>
      <c r="F14" s="7" t="s">
        <v>2122</v>
      </c>
      <c r="G14" s="7" t="s">
        <v>2123</v>
      </c>
      <c r="H14" s="681">
        <v>163</v>
      </c>
      <c r="I14" s="681">
        <v>170</v>
      </c>
      <c r="J14" s="297">
        <f t="shared" si="0"/>
        <v>12556803.865030674</v>
      </c>
      <c r="K14" s="665">
        <f t="shared" si="1"/>
        <v>4.2944785276073573E-2</v>
      </c>
    </row>
    <row r="15" spans="2:11" x14ac:dyDescent="0.35">
      <c r="B15" s="7" t="s">
        <v>2134</v>
      </c>
      <c r="C15" s="297">
        <v>17208325</v>
      </c>
      <c r="D15" s="7" t="s">
        <v>2127</v>
      </c>
      <c r="E15" s="681" t="s">
        <v>2121</v>
      </c>
      <c r="F15" s="7" t="s">
        <v>2122</v>
      </c>
      <c r="G15" s="7" t="s">
        <v>2123</v>
      </c>
      <c r="H15" s="681">
        <v>163</v>
      </c>
      <c r="I15" s="681">
        <v>170</v>
      </c>
      <c r="J15" s="297">
        <f t="shared" si="0"/>
        <v>17947332.822085891</v>
      </c>
      <c r="K15" s="665">
        <f t="shared" si="1"/>
        <v>4.2944785276073698E-2</v>
      </c>
    </row>
    <row r="16" spans="2:11" x14ac:dyDescent="0.35">
      <c r="B16" s="7" t="s">
        <v>2135</v>
      </c>
      <c r="C16" s="297">
        <v>2300000</v>
      </c>
      <c r="D16" s="7" t="s">
        <v>2136</v>
      </c>
      <c r="E16" s="682" t="s">
        <v>2137</v>
      </c>
      <c r="F16" s="7" t="s">
        <v>2122</v>
      </c>
      <c r="G16" s="7" t="s">
        <v>2123</v>
      </c>
      <c r="H16" s="682">
        <v>111</v>
      </c>
      <c r="I16" s="682">
        <v>113.3</v>
      </c>
      <c r="J16" s="297">
        <f t="shared" si="0"/>
        <v>2347657.6576576577</v>
      </c>
      <c r="K16" s="665">
        <f t="shared" si="1"/>
        <v>2.0720720720720762E-2</v>
      </c>
    </row>
    <row r="17" spans="2:14" x14ac:dyDescent="0.35">
      <c r="B17" s="7" t="s">
        <v>2138</v>
      </c>
      <c r="C17" s="297">
        <v>1000000</v>
      </c>
      <c r="D17" s="7" t="s">
        <v>2127</v>
      </c>
      <c r="E17" s="682" t="s">
        <v>2137</v>
      </c>
      <c r="F17" s="7" t="s">
        <v>2122</v>
      </c>
      <c r="G17" s="7" t="s">
        <v>2123</v>
      </c>
      <c r="H17" s="682">
        <v>111.8</v>
      </c>
      <c r="I17" s="682">
        <v>113.3</v>
      </c>
      <c r="J17" s="297">
        <f t="shared" si="0"/>
        <v>1013416.8157423971</v>
      </c>
      <c r="K17" s="665">
        <f t="shared" si="1"/>
        <v>1.3416815742397099E-2</v>
      </c>
    </row>
    <row r="18" spans="2:14" x14ac:dyDescent="0.35">
      <c r="B18" s="7" t="s">
        <v>2139</v>
      </c>
      <c r="C18" s="297">
        <v>35700000</v>
      </c>
      <c r="D18" s="7"/>
      <c r="E18" s="681" t="s">
        <v>2121</v>
      </c>
      <c r="F18" s="7" t="s">
        <v>2122</v>
      </c>
      <c r="G18" s="7" t="s">
        <v>2123</v>
      </c>
      <c r="H18" s="681">
        <v>155</v>
      </c>
      <c r="I18" s="681">
        <v>170</v>
      </c>
      <c r="J18" s="297">
        <f t="shared" ref="J18:J50" si="4">C18*(I18/H18)</f>
        <v>39154838.709677413</v>
      </c>
      <c r="K18" s="665">
        <f t="shared" ref="K18:K50" si="5">(J18-C18)/C18*1</f>
        <v>9.6774193548386928E-2</v>
      </c>
    </row>
    <row r="19" spans="2:14" x14ac:dyDescent="0.35">
      <c r="B19" s="675" t="str">
        <f>'Transport 2022'!B46</f>
        <v>AT1
(new)</v>
      </c>
      <c r="C19" s="728">
        <f>(527650*1.12)*1.3</f>
        <v>768258.4</v>
      </c>
      <c r="D19" s="675" t="s">
        <v>2123</v>
      </c>
      <c r="E19" s="681" t="s">
        <v>2121</v>
      </c>
      <c r="F19" s="675" t="s">
        <v>2122</v>
      </c>
      <c r="G19" s="675" t="s">
        <v>2123</v>
      </c>
      <c r="H19" s="681">
        <v>170</v>
      </c>
      <c r="I19" s="681">
        <v>170</v>
      </c>
      <c r="J19" s="676">
        <f t="shared" si="4"/>
        <v>768258.4</v>
      </c>
      <c r="K19" s="677">
        <f t="shared" si="5"/>
        <v>0</v>
      </c>
      <c r="N19" s="729"/>
    </row>
    <row r="20" spans="2:14" x14ac:dyDescent="0.35">
      <c r="B20" s="7" t="str">
        <f>'Transport 2022'!B54</f>
        <v>AT2
(new)</v>
      </c>
      <c r="C20" s="725">
        <f>(1499615*1.12)*1.3</f>
        <v>2183439.44</v>
      </c>
      <c r="D20" s="7" t="s">
        <v>2123</v>
      </c>
      <c r="E20" s="681" t="s">
        <v>2121</v>
      </c>
      <c r="F20" s="7" t="s">
        <v>2122</v>
      </c>
      <c r="G20" s="7" t="s">
        <v>2123</v>
      </c>
      <c r="H20" s="681">
        <v>170</v>
      </c>
      <c r="I20" s="681">
        <v>170</v>
      </c>
      <c r="J20" s="297">
        <f t="shared" si="4"/>
        <v>2183439.44</v>
      </c>
      <c r="K20" s="665">
        <f t="shared" si="5"/>
        <v>0</v>
      </c>
    </row>
    <row r="21" spans="2:14" x14ac:dyDescent="0.35">
      <c r="B21" s="675" t="str">
        <f>'Transport 2022'!B56</f>
        <v>AT3
(new)</v>
      </c>
      <c r="C21" s="728">
        <f>(422480*1.12)*1.3</f>
        <v>615130.88000000012</v>
      </c>
      <c r="D21" s="675" t="s">
        <v>2123</v>
      </c>
      <c r="E21" s="681" t="s">
        <v>2121</v>
      </c>
      <c r="F21" s="675" t="s">
        <v>2122</v>
      </c>
      <c r="G21" s="675" t="s">
        <v>2123</v>
      </c>
      <c r="H21" s="681">
        <v>170</v>
      </c>
      <c r="I21" s="681">
        <v>170</v>
      </c>
      <c r="J21" s="676">
        <f t="shared" si="4"/>
        <v>615130.88000000012</v>
      </c>
      <c r="K21" s="677">
        <f t="shared" si="5"/>
        <v>0</v>
      </c>
    </row>
    <row r="22" spans="2:14" x14ac:dyDescent="0.35">
      <c r="B22" s="7" t="str">
        <f>'Transport 2022'!B58</f>
        <v>AT4
(new)</v>
      </c>
      <c r="C22" s="725">
        <f>(911610*1.12)*1.3</f>
        <v>1327304.1600000001</v>
      </c>
      <c r="D22" s="7" t="s">
        <v>2123</v>
      </c>
      <c r="E22" s="681" t="s">
        <v>2121</v>
      </c>
      <c r="F22" s="7" t="s">
        <v>2122</v>
      </c>
      <c r="G22" s="7" t="s">
        <v>2123</v>
      </c>
      <c r="H22" s="681">
        <v>170</v>
      </c>
      <c r="I22" s="681">
        <v>170</v>
      </c>
      <c r="J22" s="297">
        <f t="shared" si="4"/>
        <v>1327304.1600000001</v>
      </c>
      <c r="K22" s="665">
        <f t="shared" si="5"/>
        <v>0</v>
      </c>
    </row>
    <row r="23" spans="2:14" x14ac:dyDescent="0.35">
      <c r="B23" s="675" t="s">
        <v>2140</v>
      </c>
      <c r="C23" s="728">
        <f>(2249000*1.12)*1.3</f>
        <v>3274544.0000000009</v>
      </c>
      <c r="D23" s="675" t="s">
        <v>2123</v>
      </c>
      <c r="E23" s="681" t="s">
        <v>2121</v>
      </c>
      <c r="F23" s="675" t="s">
        <v>2122</v>
      </c>
      <c r="G23" s="675" t="s">
        <v>2123</v>
      </c>
      <c r="H23" s="681">
        <v>170</v>
      </c>
      <c r="I23" s="681">
        <v>170</v>
      </c>
      <c r="J23" s="676">
        <f t="shared" si="4"/>
        <v>3274544.0000000009</v>
      </c>
      <c r="K23" s="677">
        <f t="shared" si="5"/>
        <v>0</v>
      </c>
    </row>
    <row r="24" spans="2:14" x14ac:dyDescent="0.35">
      <c r="B24" s="678" t="s">
        <v>2141</v>
      </c>
      <c r="C24" s="728">
        <f>(6340000*1.12)*1.3</f>
        <v>9231040.0000000019</v>
      </c>
      <c r="D24" s="675" t="s">
        <v>2123</v>
      </c>
      <c r="E24" s="681" t="s">
        <v>2121</v>
      </c>
      <c r="F24" s="675" t="s">
        <v>2122</v>
      </c>
      <c r="G24" s="675" t="s">
        <v>2123</v>
      </c>
      <c r="H24" s="681">
        <v>170</v>
      </c>
      <c r="I24" s="681">
        <v>170</v>
      </c>
      <c r="J24" s="676">
        <f t="shared" si="4"/>
        <v>9231040.0000000019</v>
      </c>
      <c r="K24" s="677">
        <f t="shared" si="5"/>
        <v>0</v>
      </c>
    </row>
    <row r="25" spans="2:14" x14ac:dyDescent="0.35">
      <c r="B25" s="7" t="s">
        <v>2142</v>
      </c>
      <c r="C25" s="725">
        <v>552200</v>
      </c>
      <c r="D25" s="7" t="s">
        <v>2123</v>
      </c>
      <c r="E25" s="681" t="s">
        <v>2121</v>
      </c>
      <c r="F25" s="7" t="s">
        <v>2122</v>
      </c>
      <c r="G25" s="7" t="s">
        <v>2123</v>
      </c>
      <c r="H25" s="681">
        <v>170</v>
      </c>
      <c r="I25" s="681">
        <v>170</v>
      </c>
      <c r="J25" s="297">
        <f t="shared" si="4"/>
        <v>552200</v>
      </c>
      <c r="K25" s="665">
        <f t="shared" si="5"/>
        <v>0</v>
      </c>
    </row>
    <row r="26" spans="2:14" x14ac:dyDescent="0.35">
      <c r="B26" s="674" t="s">
        <v>2143</v>
      </c>
      <c r="C26" s="725">
        <f>(139108*1.12)*1.3</f>
        <v>202541.24800000002</v>
      </c>
      <c r="D26" s="7" t="s">
        <v>2123</v>
      </c>
      <c r="E26" s="681" t="s">
        <v>2121</v>
      </c>
      <c r="F26" s="7" t="s">
        <v>2122</v>
      </c>
      <c r="G26" s="7" t="s">
        <v>2123</v>
      </c>
      <c r="H26" s="681">
        <v>170</v>
      </c>
      <c r="I26" s="681">
        <v>170</v>
      </c>
      <c r="J26" s="297">
        <f t="shared" si="4"/>
        <v>202541.24800000002</v>
      </c>
      <c r="K26" s="665">
        <f t="shared" si="5"/>
        <v>0</v>
      </c>
    </row>
    <row r="27" spans="2:14" x14ac:dyDescent="0.35">
      <c r="B27" s="675" t="s">
        <v>2144</v>
      </c>
      <c r="C27" s="728">
        <f>(70000*1.12)*1.3</f>
        <v>101920.00000000003</v>
      </c>
      <c r="D27" s="675" t="s">
        <v>2123</v>
      </c>
      <c r="E27" s="681" t="s">
        <v>2121</v>
      </c>
      <c r="F27" s="675" t="s">
        <v>2122</v>
      </c>
      <c r="G27" s="675" t="s">
        <v>2123</v>
      </c>
      <c r="H27" s="681">
        <v>170</v>
      </c>
      <c r="I27" s="681">
        <v>170</v>
      </c>
      <c r="J27" s="676">
        <f t="shared" si="4"/>
        <v>101920.00000000003</v>
      </c>
      <c r="K27" s="677">
        <f t="shared" si="5"/>
        <v>0</v>
      </c>
    </row>
    <row r="28" spans="2:14" x14ac:dyDescent="0.35">
      <c r="B28" s="678" t="s">
        <v>2145</v>
      </c>
      <c r="C28" s="728">
        <f>(70000*1.12)*1.3</f>
        <v>101920.00000000003</v>
      </c>
      <c r="D28" s="675" t="s">
        <v>2123</v>
      </c>
      <c r="E28" s="681" t="s">
        <v>2121</v>
      </c>
      <c r="F28" s="675" t="s">
        <v>2122</v>
      </c>
      <c r="G28" s="675" t="s">
        <v>2123</v>
      </c>
      <c r="H28" s="681">
        <v>170</v>
      </c>
      <c r="I28" s="681">
        <v>170</v>
      </c>
      <c r="J28" s="676">
        <f t="shared" si="4"/>
        <v>101920.00000000003</v>
      </c>
      <c r="K28" s="677">
        <f t="shared" si="5"/>
        <v>0</v>
      </c>
    </row>
    <row r="29" spans="2:14" x14ac:dyDescent="0.35">
      <c r="B29" s="7" t="str">
        <f>'Transport 2022'!B66</f>
        <v>AT8
(new)</v>
      </c>
      <c r="C29" s="725">
        <f>(1676946*1.12)*1.3</f>
        <v>2441633.3760000006</v>
      </c>
      <c r="D29" s="7" t="s">
        <v>2123</v>
      </c>
      <c r="E29" s="681" t="s">
        <v>2121</v>
      </c>
      <c r="F29" s="7" t="s">
        <v>2122</v>
      </c>
      <c r="G29" s="7" t="s">
        <v>2123</v>
      </c>
      <c r="H29" s="681">
        <v>170</v>
      </c>
      <c r="I29" s="681">
        <v>170</v>
      </c>
      <c r="J29" s="297">
        <f t="shared" si="4"/>
        <v>2441633.3760000006</v>
      </c>
      <c r="K29" s="665">
        <f t="shared" si="5"/>
        <v>0</v>
      </c>
    </row>
    <row r="30" spans="2:14" x14ac:dyDescent="0.35">
      <c r="B30" s="675" t="s">
        <v>2146</v>
      </c>
      <c r="C30" s="728">
        <f>(409750*1.12)*1.3</f>
        <v>596596.00000000012</v>
      </c>
      <c r="D30" s="675" t="s">
        <v>2123</v>
      </c>
      <c r="E30" s="681" t="s">
        <v>2121</v>
      </c>
      <c r="F30" s="675" t="s">
        <v>2122</v>
      </c>
      <c r="G30" s="675" t="s">
        <v>2123</v>
      </c>
      <c r="H30" s="681">
        <v>170</v>
      </c>
      <c r="I30" s="681">
        <v>170</v>
      </c>
      <c r="J30" s="676">
        <f t="shared" si="4"/>
        <v>596596.00000000012</v>
      </c>
      <c r="K30" s="677">
        <f t="shared" si="5"/>
        <v>0</v>
      </c>
    </row>
    <row r="31" spans="2:14" x14ac:dyDescent="0.35">
      <c r="B31" s="678" t="s">
        <v>2147</v>
      </c>
      <c r="C31" s="728">
        <f>(833762*1.12)*1.3</f>
        <v>1213957.4720000001</v>
      </c>
      <c r="D31" s="675" t="s">
        <v>2123</v>
      </c>
      <c r="E31" s="681" t="s">
        <v>2121</v>
      </c>
      <c r="F31" s="675" t="s">
        <v>2122</v>
      </c>
      <c r="G31" s="675" t="s">
        <v>2123</v>
      </c>
      <c r="H31" s="681">
        <v>170</v>
      </c>
      <c r="I31" s="681">
        <v>170</v>
      </c>
      <c r="J31" s="676">
        <f t="shared" si="4"/>
        <v>1213957.4720000001</v>
      </c>
      <c r="K31" s="677">
        <f t="shared" si="5"/>
        <v>0</v>
      </c>
    </row>
    <row r="32" spans="2:14" x14ac:dyDescent="0.35">
      <c r="B32" s="7" t="s">
        <v>2148</v>
      </c>
      <c r="C32" s="725">
        <f>(171187*1.12)*1.3</f>
        <v>249248.27200000006</v>
      </c>
      <c r="D32" s="7" t="s">
        <v>2123</v>
      </c>
      <c r="E32" s="681" t="s">
        <v>2121</v>
      </c>
      <c r="F32" s="7" t="s">
        <v>2122</v>
      </c>
      <c r="G32" s="7" t="s">
        <v>2123</v>
      </c>
      <c r="H32" s="681">
        <v>170</v>
      </c>
      <c r="I32" s="681">
        <v>170</v>
      </c>
      <c r="J32" s="297">
        <f t="shared" si="4"/>
        <v>249248.27200000006</v>
      </c>
      <c r="K32" s="665">
        <f t="shared" si="5"/>
        <v>0</v>
      </c>
    </row>
    <row r="33" spans="2:11" x14ac:dyDescent="0.35">
      <c r="B33" s="674" t="s">
        <v>2149</v>
      </c>
      <c r="C33" s="725">
        <f>(2086512*1.12)*1.3</f>
        <v>3037961.4720000005</v>
      </c>
      <c r="D33" s="7" t="s">
        <v>2123</v>
      </c>
      <c r="E33" s="681" t="s">
        <v>2121</v>
      </c>
      <c r="F33" s="7" t="s">
        <v>2122</v>
      </c>
      <c r="G33" s="7" t="s">
        <v>2123</v>
      </c>
      <c r="H33" s="681">
        <v>170</v>
      </c>
      <c r="I33" s="681">
        <v>170</v>
      </c>
      <c r="J33" s="297">
        <f t="shared" si="4"/>
        <v>3037961.4720000005</v>
      </c>
      <c r="K33" s="665">
        <f t="shared" si="5"/>
        <v>0</v>
      </c>
    </row>
    <row r="34" spans="2:11" x14ac:dyDescent="0.35">
      <c r="B34" s="7" t="s">
        <v>866</v>
      </c>
      <c r="C34" s="297">
        <f>30127*748</f>
        <v>22534996</v>
      </c>
      <c r="D34" s="7" t="s">
        <v>2150</v>
      </c>
      <c r="E34" s="680" t="s">
        <v>2151</v>
      </c>
      <c r="F34" s="7" t="s">
        <v>2122</v>
      </c>
      <c r="G34" s="7" t="s">
        <v>2123</v>
      </c>
      <c r="H34" s="680">
        <v>339</v>
      </c>
      <c r="I34" s="680">
        <v>349</v>
      </c>
      <c r="J34" s="297">
        <f t="shared" si="4"/>
        <v>23199745.144542772</v>
      </c>
      <c r="K34" s="739">
        <f t="shared" si="5"/>
        <v>2.9498525073746288E-2</v>
      </c>
    </row>
    <row r="35" spans="2:11" x14ac:dyDescent="0.35">
      <c r="B35" s="716" t="s">
        <v>876</v>
      </c>
      <c r="C35" s="717">
        <v>92286000</v>
      </c>
      <c r="D35" s="716" t="s">
        <v>2152</v>
      </c>
      <c r="E35" s="718" t="s">
        <v>2151</v>
      </c>
      <c r="F35" s="716" t="s">
        <v>2122</v>
      </c>
      <c r="G35" s="716" t="s">
        <v>2123</v>
      </c>
      <c r="H35" s="718">
        <v>334</v>
      </c>
      <c r="I35" s="718">
        <v>349</v>
      </c>
      <c r="J35" s="717">
        <f t="shared" si="4"/>
        <v>96430580.838323355</v>
      </c>
      <c r="K35" s="719">
        <f t="shared" si="5"/>
        <v>4.4910179640718577E-2</v>
      </c>
    </row>
    <row r="36" spans="2:11" x14ac:dyDescent="0.35">
      <c r="B36" s="7" t="s">
        <v>899</v>
      </c>
      <c r="C36" s="297">
        <v>97224000</v>
      </c>
      <c r="D36" s="7" t="s">
        <v>2152</v>
      </c>
      <c r="E36" s="680" t="s">
        <v>2151</v>
      </c>
      <c r="F36" s="7" t="s">
        <v>2122</v>
      </c>
      <c r="G36" s="7" t="s">
        <v>2123</v>
      </c>
      <c r="H36" s="680">
        <v>334</v>
      </c>
      <c r="I36" s="680">
        <v>349</v>
      </c>
      <c r="J36" s="297">
        <f t="shared" si="4"/>
        <v>101590347.30538923</v>
      </c>
      <c r="K36" s="665">
        <f t="shared" si="5"/>
        <v>4.4910179640718605E-2</v>
      </c>
    </row>
    <row r="37" spans="2:11" x14ac:dyDescent="0.35">
      <c r="B37" s="7" t="s">
        <v>2153</v>
      </c>
      <c r="C37" s="297">
        <v>21500000</v>
      </c>
      <c r="D37" s="7" t="s">
        <v>2154</v>
      </c>
      <c r="E37" s="683" t="s">
        <v>2155</v>
      </c>
      <c r="F37" s="7" t="s">
        <v>2122</v>
      </c>
      <c r="G37" s="7" t="s">
        <v>2123</v>
      </c>
      <c r="H37" s="683">
        <v>296.89999999999998</v>
      </c>
      <c r="I37" s="683">
        <v>323.5</v>
      </c>
      <c r="J37" s="297">
        <f t="shared" si="4"/>
        <v>23426237.790501852</v>
      </c>
      <c r="K37" s="665">
        <f t="shared" si="5"/>
        <v>8.959245537217915E-2</v>
      </c>
    </row>
    <row r="38" spans="2:11" x14ac:dyDescent="0.35">
      <c r="B38" s="7" t="s">
        <v>2156</v>
      </c>
      <c r="C38" s="297">
        <f>20508*420</f>
        <v>8613360</v>
      </c>
      <c r="D38" s="7" t="s">
        <v>2152</v>
      </c>
      <c r="E38" s="680" t="s">
        <v>2151</v>
      </c>
      <c r="F38" s="7" t="s">
        <v>2122</v>
      </c>
      <c r="G38" s="7" t="s">
        <v>2123</v>
      </c>
      <c r="H38" s="680">
        <v>334</v>
      </c>
      <c r="I38" s="680">
        <v>349</v>
      </c>
      <c r="J38" s="297">
        <f t="shared" si="4"/>
        <v>9000187.5449101795</v>
      </c>
      <c r="K38" s="665">
        <f t="shared" si="5"/>
        <v>4.4910179640718542E-2</v>
      </c>
    </row>
    <row r="39" spans="2:11" x14ac:dyDescent="0.35">
      <c r="B39" s="7" t="s">
        <v>2157</v>
      </c>
      <c r="C39" s="297">
        <f>20508*630</f>
        <v>12920040</v>
      </c>
      <c r="D39" s="7" t="s">
        <v>2152</v>
      </c>
      <c r="E39" s="680" t="s">
        <v>2151</v>
      </c>
      <c r="F39" s="7" t="s">
        <v>2122</v>
      </c>
      <c r="G39" s="7" t="s">
        <v>2123</v>
      </c>
      <c r="H39" s="680">
        <v>334</v>
      </c>
      <c r="I39" s="680">
        <v>349</v>
      </c>
      <c r="J39" s="297">
        <f t="shared" si="4"/>
        <v>13500281.317365268</v>
      </c>
      <c r="K39" s="665">
        <f t="shared" si="5"/>
        <v>4.4910179640718466E-2</v>
      </c>
    </row>
    <row r="40" spans="2:11" x14ac:dyDescent="0.35">
      <c r="B40" s="7" t="s">
        <v>885</v>
      </c>
      <c r="C40" s="297">
        <v>17268</v>
      </c>
      <c r="D40" s="7" t="s">
        <v>2152</v>
      </c>
      <c r="E40" s="680" t="s">
        <v>2151</v>
      </c>
      <c r="F40" s="7" t="s">
        <v>2122</v>
      </c>
      <c r="G40" s="7" t="s">
        <v>2123</v>
      </c>
      <c r="H40" s="680">
        <v>334</v>
      </c>
      <c r="I40" s="680">
        <v>349</v>
      </c>
      <c r="J40" s="297">
        <f t="shared" si="4"/>
        <v>18043.508982035928</v>
      </c>
      <c r="K40" s="665">
        <f t="shared" si="5"/>
        <v>4.4910179640718556E-2</v>
      </c>
    </row>
    <row r="41" spans="2:11" x14ac:dyDescent="0.35">
      <c r="B41" s="7" t="s">
        <v>2158</v>
      </c>
      <c r="C41" s="297">
        <v>24929</v>
      </c>
      <c r="D41" s="7" t="s">
        <v>2152</v>
      </c>
      <c r="E41" s="680" t="s">
        <v>2151</v>
      </c>
      <c r="F41" s="7" t="s">
        <v>2122</v>
      </c>
      <c r="G41" s="7" t="s">
        <v>2123</v>
      </c>
      <c r="H41" s="680">
        <v>334</v>
      </c>
      <c r="I41" s="680">
        <v>349</v>
      </c>
      <c r="J41" s="297">
        <f t="shared" si="4"/>
        <v>26048.565868263471</v>
      </c>
      <c r="K41" s="665">
        <f t="shared" si="5"/>
        <v>4.4910179640718487E-2</v>
      </c>
    </row>
    <row r="42" spans="2:11" x14ac:dyDescent="0.35">
      <c r="B42" s="7" t="s">
        <v>2159</v>
      </c>
      <c r="C42" s="297">
        <v>5.3</v>
      </c>
      <c r="D42" s="7" t="s">
        <v>2120</v>
      </c>
      <c r="E42" s="683" t="s">
        <v>2155</v>
      </c>
      <c r="F42" s="7" t="s">
        <v>2122</v>
      </c>
      <c r="G42" s="7" t="s">
        <v>2123</v>
      </c>
      <c r="H42" s="683">
        <v>288.2</v>
      </c>
      <c r="I42" s="683">
        <v>323.5</v>
      </c>
      <c r="J42" s="297">
        <f t="shared" si="4"/>
        <v>5.9491672449687716</v>
      </c>
      <c r="K42" s="665">
        <f t="shared" si="5"/>
        <v>0.12248438584316448</v>
      </c>
    </row>
    <row r="43" spans="2:11" x14ac:dyDescent="0.35">
      <c r="B43" s="7" t="s">
        <v>2160</v>
      </c>
      <c r="C43" s="297">
        <v>11.4</v>
      </c>
      <c r="D43" s="7" t="s">
        <v>2120</v>
      </c>
      <c r="E43" s="683" t="s">
        <v>2155</v>
      </c>
      <c r="F43" s="7" t="s">
        <v>2122</v>
      </c>
      <c r="G43" s="7" t="s">
        <v>2123</v>
      </c>
      <c r="H43" s="683">
        <v>288.2</v>
      </c>
      <c r="I43" s="683">
        <v>323.5</v>
      </c>
      <c r="J43" s="297">
        <f t="shared" si="4"/>
        <v>12.796321998612077</v>
      </c>
      <c r="K43" s="665">
        <f t="shared" si="5"/>
        <v>0.12248438584316464</v>
      </c>
    </row>
    <row r="44" spans="2:11" x14ac:dyDescent="0.35">
      <c r="B44" s="7" t="s">
        <v>2161</v>
      </c>
      <c r="C44" s="297">
        <f>20508*4</f>
        <v>82032</v>
      </c>
      <c r="D44" s="7" t="s">
        <v>2152</v>
      </c>
      <c r="E44" s="680" t="s">
        <v>2151</v>
      </c>
      <c r="F44" s="7" t="s">
        <v>2122</v>
      </c>
      <c r="G44" s="7" t="s">
        <v>2123</v>
      </c>
      <c r="H44" s="680">
        <v>334</v>
      </c>
      <c r="I44" s="680">
        <v>349</v>
      </c>
      <c r="J44" s="297">
        <f t="shared" si="4"/>
        <v>85716.071856287424</v>
      </c>
      <c r="K44" s="665">
        <f t="shared" si="5"/>
        <v>4.4910179640718556E-2</v>
      </c>
    </row>
    <row r="45" spans="2:11" x14ac:dyDescent="0.35">
      <c r="B45" s="7" t="s">
        <v>2162</v>
      </c>
      <c r="C45" s="297">
        <f>24929*4</f>
        <v>99716</v>
      </c>
      <c r="D45" s="7" t="s">
        <v>2152</v>
      </c>
      <c r="E45" s="680" t="s">
        <v>2151</v>
      </c>
      <c r="F45" s="7" t="s">
        <v>2122</v>
      </c>
      <c r="G45" s="7" t="s">
        <v>2123</v>
      </c>
      <c r="H45" s="680">
        <v>334</v>
      </c>
      <c r="I45" s="680">
        <v>349</v>
      </c>
      <c r="J45" s="297">
        <f t="shared" si="4"/>
        <v>104194.26347305388</v>
      </c>
      <c r="K45" s="665">
        <f t="shared" si="5"/>
        <v>4.4910179640718487E-2</v>
      </c>
    </row>
    <row r="46" spans="2:11" x14ac:dyDescent="0.35">
      <c r="B46" s="7" t="s">
        <v>2163</v>
      </c>
      <c r="C46" s="297">
        <v>2800</v>
      </c>
      <c r="D46" s="7" t="s">
        <v>2123</v>
      </c>
      <c r="E46" s="722" t="s">
        <v>2164</v>
      </c>
      <c r="F46" s="7" t="s">
        <v>2122</v>
      </c>
      <c r="G46" s="7" t="s">
        <v>2123</v>
      </c>
      <c r="H46" s="7">
        <v>5.5</v>
      </c>
      <c r="I46" s="7">
        <v>5.5</v>
      </c>
      <c r="J46" s="297">
        <f t="shared" si="4"/>
        <v>2800</v>
      </c>
      <c r="K46" s="665">
        <f t="shared" si="5"/>
        <v>0</v>
      </c>
    </row>
    <row r="47" spans="2:11" x14ac:dyDescent="0.35">
      <c r="B47" s="7" t="s">
        <v>2153</v>
      </c>
      <c r="C47" s="297">
        <v>21500000</v>
      </c>
      <c r="D47" s="7" t="s">
        <v>2154</v>
      </c>
      <c r="E47" s="7"/>
      <c r="F47" s="7"/>
      <c r="G47" s="7"/>
      <c r="H47" s="7"/>
      <c r="I47" s="7"/>
      <c r="J47" s="297" t="e">
        <f t="shared" si="4"/>
        <v>#DIV/0!</v>
      </c>
      <c r="K47" s="665" t="e">
        <f t="shared" si="5"/>
        <v>#DIV/0!</v>
      </c>
    </row>
    <row r="48" spans="2:11" x14ac:dyDescent="0.35">
      <c r="B48" s="7" t="s">
        <v>2159</v>
      </c>
      <c r="C48" s="297">
        <v>5.3</v>
      </c>
      <c r="D48" s="7" t="s">
        <v>2120</v>
      </c>
      <c r="E48" s="7"/>
      <c r="F48" s="7"/>
      <c r="G48" s="7"/>
      <c r="H48" s="7"/>
      <c r="I48" s="7"/>
      <c r="J48" s="297" t="e">
        <f t="shared" si="4"/>
        <v>#DIV/0!</v>
      </c>
      <c r="K48" s="665" t="e">
        <f t="shared" si="5"/>
        <v>#DIV/0!</v>
      </c>
    </row>
    <row r="49" spans="2:11" x14ac:dyDescent="0.35">
      <c r="B49" s="7" t="s">
        <v>2160</v>
      </c>
      <c r="C49" s="297">
        <v>11.4</v>
      </c>
      <c r="D49" s="7" t="s">
        <v>2120</v>
      </c>
      <c r="E49" s="7"/>
      <c r="F49" s="7"/>
      <c r="G49" s="7"/>
      <c r="H49" s="7"/>
      <c r="I49" s="7"/>
      <c r="J49" s="297" t="e">
        <f t="shared" si="4"/>
        <v>#DIV/0!</v>
      </c>
      <c r="K49" s="665" t="e">
        <f t="shared" si="5"/>
        <v>#DIV/0!</v>
      </c>
    </row>
    <row r="50" spans="2:11" x14ac:dyDescent="0.35">
      <c r="B50" s="7" t="s">
        <v>2163</v>
      </c>
      <c r="C50" s="297">
        <v>2800</v>
      </c>
      <c r="D50" s="7" t="s">
        <v>2123</v>
      </c>
      <c r="E50" s="7"/>
      <c r="F50" s="7"/>
      <c r="G50" s="7"/>
      <c r="H50" s="7"/>
      <c r="I50" s="7"/>
      <c r="J50" s="297" t="e">
        <f t="shared" si="4"/>
        <v>#DIV/0!</v>
      </c>
      <c r="K50" s="665" t="e">
        <f t="shared" si="5"/>
        <v>#DIV/0!</v>
      </c>
    </row>
    <row r="53" spans="2:11" x14ac:dyDescent="0.35">
      <c r="B53" s="75" t="s">
        <v>2165</v>
      </c>
    </row>
    <row r="54" spans="2:11" x14ac:dyDescent="0.35">
      <c r="B54">
        <v>1</v>
      </c>
      <c r="C54" t="s">
        <v>2166</v>
      </c>
      <c r="G54" t="s">
        <v>2167</v>
      </c>
    </row>
    <row r="55" spans="2:11" x14ac:dyDescent="0.35">
      <c r="B55">
        <v>2</v>
      </c>
      <c r="C55" t="s">
        <v>2168</v>
      </c>
    </row>
    <row r="56" spans="2:11" x14ac:dyDescent="0.35">
      <c r="B56">
        <v>3</v>
      </c>
      <c r="C56" t="s">
        <v>2169</v>
      </c>
      <c r="G56" t="s">
        <v>2170</v>
      </c>
    </row>
    <row r="57" spans="2:11" x14ac:dyDescent="0.35">
      <c r="B57">
        <v>4</v>
      </c>
      <c r="C57" t="s">
        <v>2171</v>
      </c>
    </row>
    <row r="58" spans="2:11" x14ac:dyDescent="0.35">
      <c r="B58">
        <v>5</v>
      </c>
      <c r="C58" t="s">
        <v>2172</v>
      </c>
    </row>
    <row r="59" spans="2:11" x14ac:dyDescent="0.35">
      <c r="B59">
        <v>6</v>
      </c>
      <c r="C59" t="s">
        <v>2173</v>
      </c>
    </row>
  </sheetData>
  <phoneticPr fontId="30" type="noConversion"/>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tint="-9.9978637043366805E-2"/>
  </sheetPr>
  <dimension ref="B2:AF31"/>
  <sheetViews>
    <sheetView showGridLines="0" workbookViewId="0">
      <selection activeCell="C42" sqref="C42"/>
    </sheetView>
  </sheetViews>
  <sheetFormatPr defaultColWidth="8.90625" defaultRowHeight="14" outlineLevelRow="1" x14ac:dyDescent="0.3"/>
  <cols>
    <col min="1" max="1" width="4.54296875" style="4" customWidth="1"/>
    <col min="2" max="2" width="22.08984375" style="4" customWidth="1"/>
    <col min="3" max="30" width="16.90625" style="4" customWidth="1"/>
    <col min="31" max="31" width="15.453125" style="4" customWidth="1"/>
    <col min="32" max="16384" width="8.90625" style="4"/>
  </cols>
  <sheetData>
    <row r="2" spans="2:32" x14ac:dyDescent="0.3">
      <c r="B2" s="5" t="s">
        <v>170</v>
      </c>
    </row>
    <row r="3" spans="2:32" ht="14.5" thickBot="1" x14ac:dyDescent="0.35"/>
    <row r="4" spans="2:32" ht="56.5" thickBot="1" x14ac:dyDescent="0.35">
      <c r="C4" s="187" t="s">
        <v>171</v>
      </c>
      <c r="D4" s="187" t="s">
        <v>172</v>
      </c>
      <c r="E4" s="187" t="s">
        <v>173</v>
      </c>
      <c r="F4" s="187" t="s">
        <v>174</v>
      </c>
      <c r="G4" s="187" t="s">
        <v>175</v>
      </c>
      <c r="H4" s="187" t="s">
        <v>176</v>
      </c>
      <c r="I4" s="187" t="s">
        <v>177</v>
      </c>
      <c r="J4" s="188" t="s">
        <v>178</v>
      </c>
      <c r="K4" s="188" t="s">
        <v>179</v>
      </c>
      <c r="L4" s="188" t="s">
        <v>180</v>
      </c>
      <c r="M4" s="188" t="s">
        <v>181</v>
      </c>
      <c r="N4" s="188" t="s">
        <v>182</v>
      </c>
      <c r="O4" s="188" t="s">
        <v>183</v>
      </c>
      <c r="P4" s="188" t="s">
        <v>184</v>
      </c>
      <c r="Q4" s="188" t="s">
        <v>185</v>
      </c>
      <c r="R4" s="188" t="s">
        <v>186</v>
      </c>
      <c r="S4" s="188" t="s">
        <v>187</v>
      </c>
      <c r="T4" s="188" t="s">
        <v>188</v>
      </c>
      <c r="U4" s="188" t="s">
        <v>189</v>
      </c>
      <c r="V4" s="188" t="s">
        <v>190</v>
      </c>
      <c r="W4" s="188" t="s">
        <v>191</v>
      </c>
      <c r="X4" s="188" t="s">
        <v>192</v>
      </c>
      <c r="Y4" s="188" t="s">
        <v>193</v>
      </c>
      <c r="Z4" s="188" t="s">
        <v>194</v>
      </c>
      <c r="AA4" s="188" t="s">
        <v>195</v>
      </c>
      <c r="AB4" s="188" t="s">
        <v>196</v>
      </c>
      <c r="AC4" s="188" t="s">
        <v>197</v>
      </c>
      <c r="AD4" s="188" t="s">
        <v>198</v>
      </c>
      <c r="AE4" s="189" t="s">
        <v>199</v>
      </c>
    </row>
    <row r="5" spans="2:32" ht="14.5" thickBot="1" x14ac:dyDescent="0.35">
      <c r="B5" s="186" t="s">
        <v>200</v>
      </c>
      <c r="C5" s="187">
        <f>'Apportionment %'!C4</f>
        <v>750</v>
      </c>
      <c r="D5" s="187">
        <f>'Apportionment %'!D4</f>
        <v>2600</v>
      </c>
      <c r="E5" s="187">
        <f>'Apportionment %'!E4</f>
        <v>1050</v>
      </c>
      <c r="F5" s="187">
        <f>'Apportionment %'!F4</f>
        <v>2100</v>
      </c>
      <c r="G5" s="187" t="e">
        <f>'Apportionment %'!#REF!</f>
        <v>#REF!</v>
      </c>
      <c r="H5" s="187">
        <f>'Apportionment %'!G4</f>
        <v>8500</v>
      </c>
      <c r="I5" s="187">
        <f>'Apportionment %'!H4</f>
        <v>1500</v>
      </c>
      <c r="J5" s="188">
        <f>'Apportionment %'!P4</f>
        <v>550</v>
      </c>
      <c r="K5" s="188">
        <f>'Apportionment %'!Q4</f>
        <v>70</v>
      </c>
      <c r="L5" s="188" t="e">
        <f>'Apportionment %'!#REF!</f>
        <v>#REF!</v>
      </c>
      <c r="M5" s="188">
        <f>'Apportionment %'!R4</f>
        <v>30</v>
      </c>
      <c r="N5" s="188" t="e">
        <f>'Apportionment %'!#REF!</f>
        <v>#REF!</v>
      </c>
      <c r="O5" s="188">
        <f>'Apportionment %'!S4</f>
        <v>35</v>
      </c>
      <c r="P5" s="188" t="e">
        <f>'Apportionment %'!#REF!</f>
        <v>#REF!</v>
      </c>
      <c r="Q5" s="188">
        <f>'Apportionment %'!T4</f>
        <v>35</v>
      </c>
      <c r="R5" s="188" t="e">
        <f>'Apportionment %'!#REF!</f>
        <v>#REF!</v>
      </c>
      <c r="S5" s="188">
        <f>'Apportionment %'!U4</f>
        <v>20</v>
      </c>
      <c r="T5" s="188" t="e">
        <f>'Apportionment %'!#REF!</f>
        <v>#REF!</v>
      </c>
      <c r="U5" s="188">
        <f>'Apportionment %'!V4</f>
        <v>16</v>
      </c>
      <c r="V5" s="188">
        <f>'Apportionment %'!W4</f>
        <v>15</v>
      </c>
      <c r="W5" s="188">
        <f>'Apportionment %'!X4</f>
        <v>13</v>
      </c>
      <c r="X5" s="188" t="e">
        <f>'Apportionment %'!#REF!</f>
        <v>#REF!</v>
      </c>
      <c r="Y5" s="188">
        <f>'Apportionment %'!Y4</f>
        <v>10</v>
      </c>
      <c r="Z5" s="188">
        <f>'Apportionment %'!Z4</f>
        <v>10</v>
      </c>
      <c r="AA5" s="188">
        <f>'Apportionment %'!AA4</f>
        <v>10</v>
      </c>
      <c r="AB5" s="188">
        <f>'Apportionment %'!AB4</f>
        <v>10</v>
      </c>
      <c r="AC5" s="188" t="e">
        <f>'Apportionment %'!#REF!</f>
        <v>#REF!</v>
      </c>
      <c r="AD5" s="188">
        <f>'Apportionment %'!AC4</f>
        <v>10</v>
      </c>
      <c r="AE5" s="189"/>
    </row>
    <row r="6" spans="2:32" ht="14.5" thickBot="1" x14ac:dyDescent="0.35">
      <c r="B6" s="190" t="s">
        <v>6</v>
      </c>
      <c r="C6" s="191" t="e">
        <f>#REF!</f>
        <v>#REF!</v>
      </c>
      <c r="D6" s="191" t="e">
        <f>#REF!</f>
        <v>#REF!</v>
      </c>
      <c r="E6" s="191" t="e">
        <f>#REF!</f>
        <v>#REF!</v>
      </c>
      <c r="F6" s="191" t="e">
        <f>#REF!</f>
        <v>#REF!</v>
      </c>
      <c r="G6" s="191" t="e">
        <f>#REF!</f>
        <v>#REF!</v>
      </c>
      <c r="H6" s="191" t="e">
        <f>#REF!</f>
        <v>#REF!</v>
      </c>
      <c r="I6" s="191" t="e">
        <f>#REF!</f>
        <v>#REF!</v>
      </c>
      <c r="J6" s="191" t="e">
        <f>#REF!</f>
        <v>#REF!</v>
      </c>
      <c r="K6" s="191" t="e">
        <f>#REF!</f>
        <v>#REF!</v>
      </c>
      <c r="L6" s="191" t="e">
        <f>#REF!</f>
        <v>#REF!</v>
      </c>
      <c r="M6" s="191" t="e">
        <f>#REF!</f>
        <v>#REF!</v>
      </c>
      <c r="N6" s="191" t="e">
        <f>#REF!</f>
        <v>#REF!</v>
      </c>
      <c r="O6" s="191" t="e">
        <f>#REF!</f>
        <v>#REF!</v>
      </c>
      <c r="P6" s="191" t="e">
        <f>#REF!</f>
        <v>#REF!</v>
      </c>
      <c r="Q6" s="191" t="e">
        <f>#REF!</f>
        <v>#REF!</v>
      </c>
      <c r="R6" s="191" t="e">
        <f>#REF!</f>
        <v>#REF!</v>
      </c>
      <c r="S6" s="191" t="e">
        <f>#REF!</f>
        <v>#REF!</v>
      </c>
      <c r="T6" s="191" t="e">
        <f>#REF!</f>
        <v>#REF!</v>
      </c>
      <c r="U6" s="191" t="e">
        <f>#REF!</f>
        <v>#REF!</v>
      </c>
      <c r="V6" s="191" t="e">
        <f>#REF!</f>
        <v>#REF!</v>
      </c>
      <c r="W6" s="191" t="e">
        <f>#REF!</f>
        <v>#REF!</v>
      </c>
      <c r="X6" s="191" t="e">
        <f>#REF!</f>
        <v>#REF!</v>
      </c>
      <c r="Y6" s="191" t="e">
        <f>#REF!</f>
        <v>#REF!</v>
      </c>
      <c r="Z6" s="191" t="e">
        <f>#REF!</f>
        <v>#REF!</v>
      </c>
      <c r="AA6" s="191" t="e">
        <f>#REF!</f>
        <v>#REF!</v>
      </c>
      <c r="AB6" s="191" t="e">
        <f>#REF!</f>
        <v>#REF!</v>
      </c>
      <c r="AC6" s="191" t="e">
        <f>#REF!</f>
        <v>#REF!</v>
      </c>
      <c r="AD6" s="191" t="e">
        <f>#REF!</f>
        <v>#REF!</v>
      </c>
      <c r="AE6" s="191" t="e">
        <f>#REF!</f>
        <v>#REF!</v>
      </c>
      <c r="AF6" s="4" t="e">
        <f>SUM(C6:AE6)=SUM(#REF!)</f>
        <v>#REF!</v>
      </c>
    </row>
    <row r="7" spans="2:32" ht="14.5" thickBot="1" x14ac:dyDescent="0.35">
      <c r="B7" s="190" t="s">
        <v>7</v>
      </c>
      <c r="C7" s="266" t="e">
        <f>#REF!+#REF!+#REF!</f>
        <v>#REF!</v>
      </c>
      <c r="D7" s="266" t="e">
        <f>#REF!+#REF!</f>
        <v>#REF!</v>
      </c>
      <c r="E7" s="266" t="e">
        <f>#REF!+#REF!+#REF!</f>
        <v>#REF!</v>
      </c>
      <c r="F7" s="266" t="e">
        <f>#REF!+#REF!+#REF!+#REF!+#REF!</f>
        <v>#REF!</v>
      </c>
      <c r="G7" s="266" t="e">
        <f>#REF!+#REF!+#REF!</f>
        <v>#REF!</v>
      </c>
      <c r="H7" s="266" t="e">
        <f>#REF!+#REF!</f>
        <v>#REF!</v>
      </c>
      <c r="I7" s="266" t="e">
        <f>#REF!+#REF!</f>
        <v>#REF!</v>
      </c>
      <c r="J7" s="266" t="e">
        <f>#REF!+#REF!</f>
        <v>#REF!</v>
      </c>
      <c r="K7" s="266" t="e">
        <f>#REF!+#REF!</f>
        <v>#REF!</v>
      </c>
      <c r="L7" s="266" t="e">
        <f>#REF!+#REF!</f>
        <v>#REF!</v>
      </c>
      <c r="M7" s="266" t="e">
        <f>#REF!+#REF!</f>
        <v>#REF!</v>
      </c>
      <c r="N7" s="191" t="e">
        <f>#REF!</f>
        <v>#REF!</v>
      </c>
      <c r="O7" s="191" t="e">
        <f>#REF!</f>
        <v>#REF!</v>
      </c>
      <c r="P7" s="191" t="e">
        <f>#REF!</f>
        <v>#REF!</v>
      </c>
      <c r="Q7" s="191" t="e">
        <f>#REF!</f>
        <v>#REF!</v>
      </c>
      <c r="R7" s="191" t="e">
        <f>#REF!</f>
        <v>#REF!</v>
      </c>
      <c r="S7" s="191" t="e">
        <f>#REF!</f>
        <v>#REF!</v>
      </c>
      <c r="T7" s="191" t="e">
        <f>#REF!</f>
        <v>#REF!</v>
      </c>
      <c r="U7" s="191" t="e">
        <f>#REF!</f>
        <v>#REF!</v>
      </c>
      <c r="V7" s="191" t="e">
        <f>#REF!</f>
        <v>#REF!</v>
      </c>
      <c r="W7" s="191" t="e">
        <f>#REF!</f>
        <v>#REF!</v>
      </c>
      <c r="X7" s="191" t="e">
        <f>#REF!</f>
        <v>#REF!</v>
      </c>
      <c r="Y7" s="191" t="e">
        <f>#REF!</f>
        <v>#REF!</v>
      </c>
      <c r="Z7" s="191" t="e">
        <f>#REF!</f>
        <v>#REF!</v>
      </c>
      <c r="AA7" s="191" t="e">
        <f>#REF!</f>
        <v>#REF!</v>
      </c>
      <c r="AB7" s="191" t="e">
        <f>#REF!</f>
        <v>#REF!</v>
      </c>
      <c r="AC7" s="191" t="e">
        <f>#REF!</f>
        <v>#REF!</v>
      </c>
      <c r="AD7" s="191" t="e">
        <f>#REF!</f>
        <v>#REF!</v>
      </c>
      <c r="AE7" s="266" t="e">
        <f>#REF!+#REF!+#REF!</f>
        <v>#REF!</v>
      </c>
      <c r="AF7" s="4" t="e">
        <f>SUM(C7:AE7)=SUM(#REF!)</f>
        <v>#REF!</v>
      </c>
    </row>
    <row r="8" spans="2:32" ht="14.5" thickBot="1" x14ac:dyDescent="0.35">
      <c r="B8" s="190" t="s">
        <v>8</v>
      </c>
      <c r="C8" s="191" t="e">
        <f>#REF!</f>
        <v>#REF!</v>
      </c>
      <c r="D8" s="191" t="e">
        <f>#REF!</f>
        <v>#REF!</v>
      </c>
      <c r="E8" s="191" t="e">
        <f>#REF!</f>
        <v>#REF!</v>
      </c>
      <c r="F8" s="191" t="e">
        <f>#REF!</f>
        <v>#REF!</v>
      </c>
      <c r="G8" s="191" t="e">
        <f>#REF!</f>
        <v>#REF!</v>
      </c>
      <c r="H8" s="191" t="e">
        <f>#REF!</f>
        <v>#REF!</v>
      </c>
      <c r="I8" s="191" t="e">
        <f>#REF!</f>
        <v>#REF!</v>
      </c>
      <c r="J8" s="191" t="e">
        <f>#REF!</f>
        <v>#REF!</v>
      </c>
      <c r="K8" s="191" t="e">
        <f>#REF!</f>
        <v>#REF!</v>
      </c>
      <c r="L8" s="191" t="e">
        <f>#REF!</f>
        <v>#REF!</v>
      </c>
      <c r="M8" s="191" t="e">
        <f>#REF!</f>
        <v>#REF!</v>
      </c>
      <c r="N8" s="191" t="e">
        <f>#REF!</f>
        <v>#REF!</v>
      </c>
      <c r="O8" s="191" t="e">
        <f>#REF!</f>
        <v>#REF!</v>
      </c>
      <c r="P8" s="191" t="e">
        <f>#REF!</f>
        <v>#REF!</v>
      </c>
      <c r="Q8" s="191" t="e">
        <f>#REF!</f>
        <v>#REF!</v>
      </c>
      <c r="R8" s="191" t="e">
        <f>#REF!</f>
        <v>#REF!</v>
      </c>
      <c r="S8" s="191" t="e">
        <f>#REF!</f>
        <v>#REF!</v>
      </c>
      <c r="T8" s="191" t="e">
        <f>#REF!</f>
        <v>#REF!</v>
      </c>
      <c r="U8" s="191" t="e">
        <f>#REF!</f>
        <v>#REF!</v>
      </c>
      <c r="V8" s="191" t="e">
        <f>#REF!</f>
        <v>#REF!</v>
      </c>
      <c r="W8" s="191" t="e">
        <f>#REF!</f>
        <v>#REF!</v>
      </c>
      <c r="X8" s="191" t="e">
        <f>#REF!</f>
        <v>#REF!</v>
      </c>
      <c r="Y8" s="191" t="e">
        <f>#REF!</f>
        <v>#REF!</v>
      </c>
      <c r="Z8" s="191" t="e">
        <f>#REF!</f>
        <v>#REF!</v>
      </c>
      <c r="AA8" s="191" t="e">
        <f>#REF!</f>
        <v>#REF!</v>
      </c>
      <c r="AB8" s="191" t="e">
        <f>#REF!</f>
        <v>#REF!</v>
      </c>
      <c r="AC8" s="191" t="e">
        <f>#REF!</f>
        <v>#REF!</v>
      </c>
      <c r="AD8" s="191" t="e">
        <f>#REF!</f>
        <v>#REF!</v>
      </c>
      <c r="AE8" s="191" t="e">
        <f>#REF!</f>
        <v>#REF!</v>
      </c>
      <c r="AF8" s="4" t="e">
        <f>SUM(C8:AE8)=SUM(#REF!)</f>
        <v>#REF!</v>
      </c>
    </row>
    <row r="9" spans="2:32" ht="14.5" thickBot="1" x14ac:dyDescent="0.35">
      <c r="B9" s="190" t="s">
        <v>9</v>
      </c>
      <c r="C9" s="191" t="e">
        <f>#REF!</f>
        <v>#REF!</v>
      </c>
      <c r="D9" s="191" t="e">
        <f>#REF!</f>
        <v>#REF!</v>
      </c>
      <c r="E9" s="191" t="e">
        <f>#REF!</f>
        <v>#REF!</v>
      </c>
      <c r="F9" s="191" t="e">
        <f>#REF!</f>
        <v>#REF!</v>
      </c>
      <c r="G9" s="191" t="e">
        <f>#REF!</f>
        <v>#REF!</v>
      </c>
      <c r="H9" s="191" t="e">
        <f>#REF!</f>
        <v>#REF!</v>
      </c>
      <c r="I9" s="191" t="e">
        <f>#REF!</f>
        <v>#REF!</v>
      </c>
      <c r="J9" s="191" t="e">
        <f>#REF!</f>
        <v>#REF!</v>
      </c>
      <c r="K9" s="191" t="e">
        <f>#REF!</f>
        <v>#REF!</v>
      </c>
      <c r="L9" s="191" t="e">
        <f>#REF!</f>
        <v>#REF!</v>
      </c>
      <c r="M9" s="191" t="e">
        <f>#REF!</f>
        <v>#REF!</v>
      </c>
      <c r="N9" s="191" t="e">
        <f>#REF!</f>
        <v>#REF!</v>
      </c>
      <c r="O9" s="191" t="e">
        <f>#REF!</f>
        <v>#REF!</v>
      </c>
      <c r="P9" s="191" t="e">
        <f>#REF!</f>
        <v>#REF!</v>
      </c>
      <c r="Q9" s="191" t="e">
        <f>#REF!</f>
        <v>#REF!</v>
      </c>
      <c r="R9" s="191" t="e">
        <f>#REF!</f>
        <v>#REF!</v>
      </c>
      <c r="S9" s="191" t="e">
        <f>#REF!</f>
        <v>#REF!</v>
      </c>
      <c r="T9" s="191" t="e">
        <f>#REF!</f>
        <v>#REF!</v>
      </c>
      <c r="U9" s="191" t="e">
        <f>#REF!</f>
        <v>#REF!</v>
      </c>
      <c r="V9" s="191" t="e">
        <f>#REF!</f>
        <v>#REF!</v>
      </c>
      <c r="W9" s="191" t="e">
        <f>#REF!</f>
        <v>#REF!</v>
      </c>
      <c r="X9" s="191" t="e">
        <f>#REF!</f>
        <v>#REF!</v>
      </c>
      <c r="Y9" s="191" t="e">
        <f>#REF!</f>
        <v>#REF!</v>
      </c>
      <c r="Z9" s="191" t="e">
        <f>#REF!</f>
        <v>#REF!</v>
      </c>
      <c r="AA9" s="191" t="e">
        <f>#REF!</f>
        <v>#REF!</v>
      </c>
      <c r="AB9" s="191" t="e">
        <f>#REF!</f>
        <v>#REF!</v>
      </c>
      <c r="AC9" s="191" t="e">
        <f>#REF!</f>
        <v>#REF!</v>
      </c>
      <c r="AD9" s="191" t="e">
        <f>#REF!</f>
        <v>#REF!</v>
      </c>
      <c r="AE9" s="191" t="e">
        <f>#REF!</f>
        <v>#REF!</v>
      </c>
      <c r="AF9" s="4" t="e">
        <f>SUM(C9:AE9)=SUM(#REF!)</f>
        <v>#REF!</v>
      </c>
    </row>
    <row r="10" spans="2:32" ht="14.5" thickBot="1" x14ac:dyDescent="0.35">
      <c r="B10" s="190" t="s">
        <v>10</v>
      </c>
      <c r="C10" s="191" t="e">
        <f>#REF!</f>
        <v>#REF!</v>
      </c>
      <c r="D10" s="191" t="e">
        <f>#REF!</f>
        <v>#REF!</v>
      </c>
      <c r="E10" s="191" t="e">
        <f>#REF!</f>
        <v>#REF!</v>
      </c>
      <c r="F10" s="191" t="e">
        <f>#REF!</f>
        <v>#REF!</v>
      </c>
      <c r="G10" s="191" t="e">
        <f>#REF!</f>
        <v>#REF!</v>
      </c>
      <c r="H10" s="191" t="e">
        <f>#REF!</f>
        <v>#REF!</v>
      </c>
      <c r="I10" s="191" t="e">
        <f>#REF!</f>
        <v>#REF!</v>
      </c>
      <c r="J10" s="191" t="e">
        <f>#REF!</f>
        <v>#REF!</v>
      </c>
      <c r="K10" s="191" t="e">
        <f>#REF!</f>
        <v>#REF!</v>
      </c>
      <c r="L10" s="191" t="e">
        <f>#REF!</f>
        <v>#REF!</v>
      </c>
      <c r="M10" s="191" t="e">
        <f>#REF!</f>
        <v>#REF!</v>
      </c>
      <c r="N10" s="191" t="e">
        <f>#REF!</f>
        <v>#REF!</v>
      </c>
      <c r="O10" s="191" t="e">
        <f>#REF!</f>
        <v>#REF!</v>
      </c>
      <c r="P10" s="191" t="e">
        <f>#REF!</f>
        <v>#REF!</v>
      </c>
      <c r="Q10" s="191" t="e">
        <f>#REF!</f>
        <v>#REF!</v>
      </c>
      <c r="R10" s="191" t="e">
        <f>#REF!</f>
        <v>#REF!</v>
      </c>
      <c r="S10" s="191" t="e">
        <f>#REF!</f>
        <v>#REF!</v>
      </c>
      <c r="T10" s="191" t="e">
        <f>#REF!</f>
        <v>#REF!</v>
      </c>
      <c r="U10" s="191" t="e">
        <f>#REF!</f>
        <v>#REF!</v>
      </c>
      <c r="V10" s="191" t="e">
        <f>#REF!</f>
        <v>#REF!</v>
      </c>
      <c r="W10" s="191" t="e">
        <f>#REF!</f>
        <v>#REF!</v>
      </c>
      <c r="X10" s="191" t="e">
        <f>#REF!</f>
        <v>#REF!</v>
      </c>
      <c r="Y10" s="191" t="e">
        <f>#REF!</f>
        <v>#REF!</v>
      </c>
      <c r="Z10" s="191" t="e">
        <f>#REF!</f>
        <v>#REF!</v>
      </c>
      <c r="AA10" s="191" t="e">
        <f>#REF!</f>
        <v>#REF!</v>
      </c>
      <c r="AB10" s="191" t="e">
        <f>#REF!</f>
        <v>#REF!</v>
      </c>
      <c r="AC10" s="191" t="e">
        <f>#REF!</f>
        <v>#REF!</v>
      </c>
      <c r="AD10" s="191" t="e">
        <f>#REF!</f>
        <v>#REF!</v>
      </c>
      <c r="AE10" s="191" t="e">
        <f>#REF!</f>
        <v>#REF!</v>
      </c>
      <c r="AF10" s="4" t="e">
        <f>SUM(C10:AE10)=SUM(#REF!)</f>
        <v>#REF!</v>
      </c>
    </row>
    <row r="11" spans="2:32" ht="14.5" thickBot="1" x14ac:dyDescent="0.35">
      <c r="B11" s="190" t="s">
        <v>11</v>
      </c>
      <c r="C11" s="191" t="e">
        <f>#REF!</f>
        <v>#REF!</v>
      </c>
      <c r="D11" s="191" t="e">
        <f>#REF!</f>
        <v>#REF!</v>
      </c>
      <c r="E11" s="191" t="e">
        <f>#REF!</f>
        <v>#REF!</v>
      </c>
      <c r="F11" s="191" t="e">
        <f>#REF!</f>
        <v>#REF!</v>
      </c>
      <c r="G11" s="191" t="e">
        <f>#REF!</f>
        <v>#REF!</v>
      </c>
      <c r="H11" s="191" t="e">
        <f>#REF!</f>
        <v>#REF!</v>
      </c>
      <c r="I11" s="191" t="e">
        <f>#REF!</f>
        <v>#REF!</v>
      </c>
      <c r="J11" s="191" t="e">
        <f>#REF!</f>
        <v>#REF!</v>
      </c>
      <c r="K11" s="191" t="e">
        <f>#REF!</f>
        <v>#REF!</v>
      </c>
      <c r="L11" s="191" t="e">
        <f>#REF!</f>
        <v>#REF!</v>
      </c>
      <c r="M11" s="191" t="e">
        <f>#REF!</f>
        <v>#REF!</v>
      </c>
      <c r="N11" s="191" t="e">
        <f>#REF!</f>
        <v>#REF!</v>
      </c>
      <c r="O11" s="191" t="e">
        <f>#REF!</f>
        <v>#REF!</v>
      </c>
      <c r="P11" s="191" t="e">
        <f>#REF!</f>
        <v>#REF!</v>
      </c>
      <c r="Q11" s="191" t="e">
        <f>#REF!</f>
        <v>#REF!</v>
      </c>
      <c r="R11" s="191" t="e">
        <f>#REF!</f>
        <v>#REF!</v>
      </c>
      <c r="S11" s="191" t="e">
        <f>#REF!</f>
        <v>#REF!</v>
      </c>
      <c r="T11" s="191" t="e">
        <f>#REF!</f>
        <v>#REF!</v>
      </c>
      <c r="U11" s="191" t="e">
        <f>#REF!</f>
        <v>#REF!</v>
      </c>
      <c r="V11" s="191" t="e">
        <f>#REF!</f>
        <v>#REF!</v>
      </c>
      <c r="W11" s="191" t="e">
        <f>#REF!</f>
        <v>#REF!</v>
      </c>
      <c r="X11" s="191" t="e">
        <f>#REF!</f>
        <v>#REF!</v>
      </c>
      <c r="Y11" s="191" t="e">
        <f>#REF!</f>
        <v>#REF!</v>
      </c>
      <c r="Z11" s="191" t="e">
        <f>#REF!</f>
        <v>#REF!</v>
      </c>
      <c r="AA11" s="191" t="e">
        <f>#REF!</f>
        <v>#REF!</v>
      </c>
      <c r="AB11" s="191" t="e">
        <f>#REF!</f>
        <v>#REF!</v>
      </c>
      <c r="AC11" s="191" t="e">
        <f>#REF!</f>
        <v>#REF!</v>
      </c>
      <c r="AD11" s="191" t="e">
        <f>#REF!</f>
        <v>#REF!</v>
      </c>
      <c r="AE11" s="191" t="e">
        <f>#REF!</f>
        <v>#REF!</v>
      </c>
      <c r="AF11" s="4" t="e">
        <f>SUM(C11:AE11)=SUM(#REF!)</f>
        <v>#REF!</v>
      </c>
    </row>
    <row r="12" spans="2:32" ht="14.5" thickBot="1" x14ac:dyDescent="0.35">
      <c r="B12" s="190" t="s">
        <v>12</v>
      </c>
      <c r="C12" s="191" t="e">
        <f>#REF!</f>
        <v>#REF!</v>
      </c>
      <c r="D12" s="191" t="e">
        <f>#REF!</f>
        <v>#REF!</v>
      </c>
      <c r="E12" s="191" t="e">
        <f>#REF!</f>
        <v>#REF!</v>
      </c>
      <c r="F12" s="191" t="e">
        <f>#REF!</f>
        <v>#REF!</v>
      </c>
      <c r="G12" s="191" t="e">
        <f>#REF!</f>
        <v>#REF!</v>
      </c>
      <c r="H12" s="191" t="e">
        <f>#REF!</f>
        <v>#REF!</v>
      </c>
      <c r="I12" s="191" t="e">
        <f>#REF!</f>
        <v>#REF!</v>
      </c>
      <c r="J12" s="191" t="e">
        <f>#REF!</f>
        <v>#REF!</v>
      </c>
      <c r="K12" s="191" t="e">
        <f>#REF!</f>
        <v>#REF!</v>
      </c>
      <c r="L12" s="191" t="e">
        <f>#REF!</f>
        <v>#REF!</v>
      </c>
      <c r="M12" s="191" t="e">
        <f>#REF!</f>
        <v>#REF!</v>
      </c>
      <c r="N12" s="191" t="e">
        <f>#REF!</f>
        <v>#REF!</v>
      </c>
      <c r="O12" s="191" t="e">
        <f>#REF!</f>
        <v>#REF!</v>
      </c>
      <c r="P12" s="191" t="e">
        <f>#REF!</f>
        <v>#REF!</v>
      </c>
      <c r="Q12" s="191" t="e">
        <f>#REF!</f>
        <v>#REF!</v>
      </c>
      <c r="R12" s="191" t="e">
        <f>#REF!</f>
        <v>#REF!</v>
      </c>
      <c r="S12" s="191" t="e">
        <f>#REF!</f>
        <v>#REF!</v>
      </c>
      <c r="T12" s="191" t="e">
        <f>#REF!</f>
        <v>#REF!</v>
      </c>
      <c r="U12" s="191" t="e">
        <f>#REF!</f>
        <v>#REF!</v>
      </c>
      <c r="V12" s="191" t="e">
        <f>#REF!</f>
        <v>#REF!</v>
      </c>
      <c r="W12" s="191" t="e">
        <f>#REF!</f>
        <v>#REF!</v>
      </c>
      <c r="X12" s="191" t="e">
        <f>#REF!</f>
        <v>#REF!</v>
      </c>
      <c r="Y12" s="191" t="e">
        <f>#REF!</f>
        <v>#REF!</v>
      </c>
      <c r="Z12" s="191" t="e">
        <f>#REF!</f>
        <v>#REF!</v>
      </c>
      <c r="AA12" s="191" t="e">
        <f>#REF!</f>
        <v>#REF!</v>
      </c>
      <c r="AB12" s="191" t="e">
        <f>#REF!</f>
        <v>#REF!</v>
      </c>
      <c r="AC12" s="191" t="e">
        <f>#REF!</f>
        <v>#REF!</v>
      </c>
      <c r="AD12" s="191" t="e">
        <f>#REF!</f>
        <v>#REF!</v>
      </c>
      <c r="AE12" s="191" t="e">
        <f>#REF!</f>
        <v>#REF!</v>
      </c>
      <c r="AF12" s="4" t="e">
        <f>SUM(C12:AE12)=SUM(#REF!)</f>
        <v>#REF!</v>
      </c>
    </row>
    <row r="13" spans="2:32" ht="14.5" thickBot="1" x14ac:dyDescent="0.35">
      <c r="B13" s="190" t="s">
        <v>13</v>
      </c>
      <c r="C13" s="191" t="e">
        <f>#REF!</f>
        <v>#REF!</v>
      </c>
      <c r="D13" s="191" t="e">
        <f>#REF!</f>
        <v>#REF!</v>
      </c>
      <c r="E13" s="191" t="e">
        <f>#REF!</f>
        <v>#REF!</v>
      </c>
      <c r="F13" s="191" t="e">
        <f>#REF!</f>
        <v>#REF!</v>
      </c>
      <c r="G13" s="191" t="e">
        <f>#REF!</f>
        <v>#REF!</v>
      </c>
      <c r="H13" s="191" t="e">
        <f>#REF!</f>
        <v>#REF!</v>
      </c>
      <c r="I13" s="191" t="e">
        <f>#REF!</f>
        <v>#REF!</v>
      </c>
      <c r="J13" s="191" t="e">
        <f>#REF!</f>
        <v>#REF!</v>
      </c>
      <c r="K13" s="191" t="e">
        <f>#REF!</f>
        <v>#REF!</v>
      </c>
      <c r="L13" s="191" t="e">
        <f>#REF!</f>
        <v>#REF!</v>
      </c>
      <c r="M13" s="191" t="e">
        <f>#REF!</f>
        <v>#REF!</v>
      </c>
      <c r="N13" s="191" t="e">
        <f>#REF!</f>
        <v>#REF!</v>
      </c>
      <c r="O13" s="191" t="e">
        <f>#REF!</f>
        <v>#REF!</v>
      </c>
      <c r="P13" s="191" t="e">
        <f>#REF!</f>
        <v>#REF!</v>
      </c>
      <c r="Q13" s="191" t="e">
        <f>#REF!</f>
        <v>#REF!</v>
      </c>
      <c r="R13" s="191" t="e">
        <f>#REF!</f>
        <v>#REF!</v>
      </c>
      <c r="S13" s="191" t="e">
        <f>#REF!</f>
        <v>#REF!</v>
      </c>
      <c r="T13" s="191" t="e">
        <f>#REF!</f>
        <v>#REF!</v>
      </c>
      <c r="U13" s="191" t="e">
        <f>#REF!</f>
        <v>#REF!</v>
      </c>
      <c r="V13" s="191" t="e">
        <f>#REF!</f>
        <v>#REF!</v>
      </c>
      <c r="W13" s="191" t="e">
        <f>#REF!</f>
        <v>#REF!</v>
      </c>
      <c r="X13" s="191" t="e">
        <f>#REF!</f>
        <v>#REF!</v>
      </c>
      <c r="Y13" s="191" t="e">
        <f>#REF!</f>
        <v>#REF!</v>
      </c>
      <c r="Z13" s="191" t="e">
        <f>#REF!</f>
        <v>#REF!</v>
      </c>
      <c r="AA13" s="191" t="e">
        <f>#REF!</f>
        <v>#REF!</v>
      </c>
      <c r="AB13" s="191" t="e">
        <f>#REF!</f>
        <v>#REF!</v>
      </c>
      <c r="AC13" s="191" t="e">
        <f>#REF!</f>
        <v>#REF!</v>
      </c>
      <c r="AD13" s="191" t="e">
        <f>#REF!</f>
        <v>#REF!</v>
      </c>
      <c r="AE13" s="191" t="e">
        <f>#REF!</f>
        <v>#REF!</v>
      </c>
      <c r="AF13" s="4" t="e">
        <f>SUM(C13:AE13)=SUM(#REF!)</f>
        <v>#REF!</v>
      </c>
    </row>
    <row r="14" spans="2:32" ht="14.5" thickBot="1" x14ac:dyDescent="0.35">
      <c r="B14" s="190" t="s">
        <v>14</v>
      </c>
      <c r="C14" s="191" t="e">
        <f>#REF!</f>
        <v>#REF!</v>
      </c>
      <c r="D14" s="191" t="e">
        <f>#REF!</f>
        <v>#REF!</v>
      </c>
      <c r="E14" s="191" t="e">
        <f>#REF!</f>
        <v>#REF!</v>
      </c>
      <c r="F14" s="191" t="e">
        <f>#REF!</f>
        <v>#REF!</v>
      </c>
      <c r="G14" s="191" t="e">
        <f>#REF!</f>
        <v>#REF!</v>
      </c>
      <c r="H14" s="191" t="e">
        <f>#REF!</f>
        <v>#REF!</v>
      </c>
      <c r="I14" s="191" t="e">
        <f>#REF!</f>
        <v>#REF!</v>
      </c>
      <c r="J14" s="191" t="e">
        <f>#REF!</f>
        <v>#REF!</v>
      </c>
      <c r="K14" s="191" t="e">
        <f>#REF!</f>
        <v>#REF!</v>
      </c>
      <c r="L14" s="191" t="e">
        <f>#REF!</f>
        <v>#REF!</v>
      </c>
      <c r="M14" s="191" t="e">
        <f>#REF!</f>
        <v>#REF!</v>
      </c>
      <c r="N14" s="191" t="e">
        <f>#REF!</f>
        <v>#REF!</v>
      </c>
      <c r="O14" s="191" t="e">
        <f>#REF!</f>
        <v>#REF!</v>
      </c>
      <c r="P14" s="191" t="e">
        <f>#REF!</f>
        <v>#REF!</v>
      </c>
      <c r="Q14" s="191" t="e">
        <f>#REF!</f>
        <v>#REF!</v>
      </c>
      <c r="R14" s="191" t="e">
        <f>#REF!</f>
        <v>#REF!</v>
      </c>
      <c r="S14" s="191" t="e">
        <f>#REF!</f>
        <v>#REF!</v>
      </c>
      <c r="T14" s="191" t="e">
        <f>#REF!</f>
        <v>#REF!</v>
      </c>
      <c r="U14" s="191" t="e">
        <f>#REF!</f>
        <v>#REF!</v>
      </c>
      <c r="V14" s="191" t="e">
        <f>#REF!</f>
        <v>#REF!</v>
      </c>
      <c r="W14" s="191" t="e">
        <f>#REF!</f>
        <v>#REF!</v>
      </c>
      <c r="X14" s="191" t="e">
        <f>#REF!</f>
        <v>#REF!</v>
      </c>
      <c r="Y14" s="191" t="e">
        <f>#REF!</f>
        <v>#REF!</v>
      </c>
      <c r="Z14" s="191" t="e">
        <f>#REF!</f>
        <v>#REF!</v>
      </c>
      <c r="AA14" s="191" t="e">
        <f>#REF!</f>
        <v>#REF!</v>
      </c>
      <c r="AB14" s="191" t="e">
        <f>#REF!</f>
        <v>#REF!</v>
      </c>
      <c r="AC14" s="191" t="e">
        <f>#REF!</f>
        <v>#REF!</v>
      </c>
      <c r="AD14" s="191" t="e">
        <f>#REF!</f>
        <v>#REF!</v>
      </c>
      <c r="AE14" s="191" t="e">
        <f>#REF!</f>
        <v>#REF!</v>
      </c>
      <c r="AF14" s="4" t="e">
        <f>SUM(C14:AE14)=SUM(#REF!)</f>
        <v>#REF!</v>
      </c>
    </row>
    <row r="15" spans="2:32" ht="14.5" thickBot="1" x14ac:dyDescent="0.35">
      <c r="B15" s="5"/>
    </row>
    <row r="16" spans="2:32" s="5" customFormat="1" ht="14.5" thickBot="1" x14ac:dyDescent="0.35">
      <c r="B16" s="190" t="s">
        <v>15</v>
      </c>
      <c r="C16" s="192" t="e">
        <f>SUM(C6:C14)</f>
        <v>#REF!</v>
      </c>
      <c r="D16" s="192" t="e">
        <f t="shared" ref="D16:AE16" si="0">SUM(D6:D14)</f>
        <v>#REF!</v>
      </c>
      <c r="E16" s="192" t="e">
        <f t="shared" si="0"/>
        <v>#REF!</v>
      </c>
      <c r="F16" s="192" t="e">
        <f t="shared" si="0"/>
        <v>#REF!</v>
      </c>
      <c r="G16" s="192" t="e">
        <f t="shared" si="0"/>
        <v>#REF!</v>
      </c>
      <c r="H16" s="192" t="e">
        <f t="shared" si="0"/>
        <v>#REF!</v>
      </c>
      <c r="I16" s="192" t="e">
        <f t="shared" si="0"/>
        <v>#REF!</v>
      </c>
      <c r="J16" s="192" t="e">
        <f t="shared" si="0"/>
        <v>#REF!</v>
      </c>
      <c r="K16" s="192" t="e">
        <f t="shared" si="0"/>
        <v>#REF!</v>
      </c>
      <c r="L16" s="192" t="e">
        <f t="shared" si="0"/>
        <v>#REF!</v>
      </c>
      <c r="M16" s="192" t="e">
        <f t="shared" si="0"/>
        <v>#REF!</v>
      </c>
      <c r="N16" s="192" t="e">
        <f t="shared" si="0"/>
        <v>#REF!</v>
      </c>
      <c r="O16" s="192" t="e">
        <f t="shared" si="0"/>
        <v>#REF!</v>
      </c>
      <c r="P16" s="192" t="e">
        <f t="shared" si="0"/>
        <v>#REF!</v>
      </c>
      <c r="Q16" s="192" t="e">
        <f t="shared" si="0"/>
        <v>#REF!</v>
      </c>
      <c r="R16" s="192" t="e">
        <f t="shared" si="0"/>
        <v>#REF!</v>
      </c>
      <c r="S16" s="192" t="e">
        <f t="shared" si="0"/>
        <v>#REF!</v>
      </c>
      <c r="T16" s="192" t="e">
        <f t="shared" si="0"/>
        <v>#REF!</v>
      </c>
      <c r="U16" s="192" t="e">
        <f t="shared" si="0"/>
        <v>#REF!</v>
      </c>
      <c r="V16" s="192" t="e">
        <f t="shared" si="0"/>
        <v>#REF!</v>
      </c>
      <c r="W16" s="192" t="e">
        <f t="shared" si="0"/>
        <v>#REF!</v>
      </c>
      <c r="X16" s="192" t="e">
        <f t="shared" si="0"/>
        <v>#REF!</v>
      </c>
      <c r="Y16" s="192" t="e">
        <f t="shared" si="0"/>
        <v>#REF!</v>
      </c>
      <c r="Z16" s="192" t="e">
        <f t="shared" si="0"/>
        <v>#REF!</v>
      </c>
      <c r="AA16" s="192" t="e">
        <f t="shared" si="0"/>
        <v>#REF!</v>
      </c>
      <c r="AB16" s="192" t="e">
        <f t="shared" si="0"/>
        <v>#REF!</v>
      </c>
      <c r="AC16" s="192" t="e">
        <f t="shared" si="0"/>
        <v>#REF!</v>
      </c>
      <c r="AD16" s="192" t="e">
        <f t="shared" si="0"/>
        <v>#REF!</v>
      </c>
      <c r="AE16" s="192" t="e">
        <f t="shared" si="0"/>
        <v>#REF!</v>
      </c>
    </row>
    <row r="17" spans="2:31" s="5" customFormat="1" ht="14.5" thickBot="1" x14ac:dyDescent="0.35">
      <c r="B17" s="190" t="s">
        <v>201</v>
      </c>
      <c r="C17" s="192" t="e">
        <f>C16/C5</f>
        <v>#REF!</v>
      </c>
      <c r="D17" s="192" t="e">
        <f t="shared" ref="D17:AD17" si="1">D16/D5</f>
        <v>#REF!</v>
      </c>
      <c r="E17" s="192" t="e">
        <f t="shared" si="1"/>
        <v>#REF!</v>
      </c>
      <c r="F17" s="192" t="e">
        <f t="shared" si="1"/>
        <v>#REF!</v>
      </c>
      <c r="G17" s="192" t="e">
        <f t="shared" si="1"/>
        <v>#REF!</v>
      </c>
      <c r="H17" s="192" t="e">
        <f t="shared" si="1"/>
        <v>#REF!</v>
      </c>
      <c r="I17" s="192" t="e">
        <f t="shared" si="1"/>
        <v>#REF!</v>
      </c>
      <c r="J17" s="192" t="e">
        <f t="shared" si="1"/>
        <v>#REF!</v>
      </c>
      <c r="K17" s="192" t="e">
        <f t="shared" si="1"/>
        <v>#REF!</v>
      </c>
      <c r="L17" s="192" t="e">
        <f t="shared" si="1"/>
        <v>#REF!</v>
      </c>
      <c r="M17" s="192" t="e">
        <f t="shared" si="1"/>
        <v>#REF!</v>
      </c>
      <c r="N17" s="192" t="e">
        <f t="shared" si="1"/>
        <v>#REF!</v>
      </c>
      <c r="O17" s="192" t="e">
        <f t="shared" si="1"/>
        <v>#REF!</v>
      </c>
      <c r="P17" s="192" t="e">
        <f t="shared" si="1"/>
        <v>#REF!</v>
      </c>
      <c r="Q17" s="192" t="e">
        <f t="shared" si="1"/>
        <v>#REF!</v>
      </c>
      <c r="R17" s="192" t="e">
        <f t="shared" si="1"/>
        <v>#REF!</v>
      </c>
      <c r="S17" s="192" t="e">
        <f t="shared" si="1"/>
        <v>#REF!</v>
      </c>
      <c r="T17" s="192" t="e">
        <f t="shared" si="1"/>
        <v>#REF!</v>
      </c>
      <c r="U17" s="192" t="e">
        <f t="shared" si="1"/>
        <v>#REF!</v>
      </c>
      <c r="V17" s="192" t="e">
        <f t="shared" si="1"/>
        <v>#REF!</v>
      </c>
      <c r="W17" s="192" t="e">
        <f t="shared" si="1"/>
        <v>#REF!</v>
      </c>
      <c r="X17" s="192" t="e">
        <f t="shared" si="1"/>
        <v>#REF!</v>
      </c>
      <c r="Y17" s="192" t="e">
        <f t="shared" si="1"/>
        <v>#REF!</v>
      </c>
      <c r="Z17" s="192" t="e">
        <f t="shared" si="1"/>
        <v>#REF!</v>
      </c>
      <c r="AA17" s="192" t="e">
        <f t="shared" si="1"/>
        <v>#REF!</v>
      </c>
      <c r="AB17" s="192" t="e">
        <f t="shared" si="1"/>
        <v>#REF!</v>
      </c>
      <c r="AC17" s="192" t="e">
        <f t="shared" si="1"/>
        <v>#REF!</v>
      </c>
      <c r="AD17" s="192" t="e">
        <f t="shared" si="1"/>
        <v>#REF!</v>
      </c>
      <c r="AE17" s="192"/>
    </row>
    <row r="18" spans="2:31" x14ac:dyDescent="0.3">
      <c r="C18" s="58" t="s">
        <v>202</v>
      </c>
      <c r="D18" s="216" t="e">
        <f>SUM(C16:D16)/(SUM(C5:D5))</f>
        <v>#REF!</v>
      </c>
    </row>
    <row r="21" spans="2:31" s="58" customFormat="1" hidden="1" outlineLevel="1" x14ac:dyDescent="0.3">
      <c r="B21" s="58" t="s">
        <v>6</v>
      </c>
      <c r="C21" s="216" t="e">
        <f t="shared" ref="C21:C29" si="2">C6/C$5</f>
        <v>#REF!</v>
      </c>
      <c r="D21" s="216" t="e">
        <f t="shared" ref="D21:AD29" si="3">D6/D$5</f>
        <v>#REF!</v>
      </c>
      <c r="E21" s="216" t="e">
        <f t="shared" si="3"/>
        <v>#REF!</v>
      </c>
      <c r="F21" s="216" t="e">
        <f t="shared" si="3"/>
        <v>#REF!</v>
      </c>
      <c r="G21" s="216" t="e">
        <f t="shared" si="3"/>
        <v>#REF!</v>
      </c>
      <c r="H21" s="216" t="e">
        <f t="shared" si="3"/>
        <v>#REF!</v>
      </c>
      <c r="I21" s="216" t="e">
        <f t="shared" si="3"/>
        <v>#REF!</v>
      </c>
      <c r="J21" s="216" t="e">
        <f t="shared" si="3"/>
        <v>#REF!</v>
      </c>
      <c r="K21" s="216" t="e">
        <f t="shared" si="3"/>
        <v>#REF!</v>
      </c>
      <c r="L21" s="216" t="e">
        <f t="shared" si="3"/>
        <v>#REF!</v>
      </c>
      <c r="M21" s="216" t="e">
        <f t="shared" si="3"/>
        <v>#REF!</v>
      </c>
      <c r="N21" s="216" t="e">
        <f t="shared" si="3"/>
        <v>#REF!</v>
      </c>
      <c r="O21" s="216" t="e">
        <f t="shared" si="3"/>
        <v>#REF!</v>
      </c>
      <c r="P21" s="216" t="e">
        <f t="shared" si="3"/>
        <v>#REF!</v>
      </c>
      <c r="Q21" s="216" t="e">
        <f t="shared" si="3"/>
        <v>#REF!</v>
      </c>
      <c r="R21" s="216" t="e">
        <f t="shared" si="3"/>
        <v>#REF!</v>
      </c>
      <c r="S21" s="216" t="e">
        <f t="shared" si="3"/>
        <v>#REF!</v>
      </c>
      <c r="T21" s="216" t="e">
        <f t="shared" si="3"/>
        <v>#REF!</v>
      </c>
      <c r="U21" s="216" t="e">
        <f t="shared" si="3"/>
        <v>#REF!</v>
      </c>
      <c r="V21" s="216" t="e">
        <f t="shared" si="3"/>
        <v>#REF!</v>
      </c>
      <c r="W21" s="216" t="e">
        <f t="shared" si="3"/>
        <v>#REF!</v>
      </c>
      <c r="X21" s="216" t="e">
        <f t="shared" si="3"/>
        <v>#REF!</v>
      </c>
      <c r="Y21" s="216" t="e">
        <f t="shared" si="3"/>
        <v>#REF!</v>
      </c>
      <c r="Z21" s="216" t="e">
        <f t="shared" si="3"/>
        <v>#REF!</v>
      </c>
      <c r="AA21" s="216" t="e">
        <f t="shared" si="3"/>
        <v>#REF!</v>
      </c>
      <c r="AB21" s="216" t="e">
        <f t="shared" si="3"/>
        <v>#REF!</v>
      </c>
      <c r="AC21" s="216" t="e">
        <f t="shared" si="3"/>
        <v>#REF!</v>
      </c>
      <c r="AD21" s="216" t="e">
        <f t="shared" si="3"/>
        <v>#REF!</v>
      </c>
      <c r="AE21" s="216"/>
    </row>
    <row r="22" spans="2:31" s="58" customFormat="1" hidden="1" outlineLevel="1" x14ac:dyDescent="0.3">
      <c r="B22" s="58" t="s">
        <v>7</v>
      </c>
      <c r="C22" s="216" t="e">
        <f t="shared" si="2"/>
        <v>#REF!</v>
      </c>
      <c r="D22" s="216" t="e">
        <f t="shared" ref="D22:R22" si="4">D7/D$5</f>
        <v>#REF!</v>
      </c>
      <c r="E22" s="216" t="e">
        <f t="shared" si="4"/>
        <v>#REF!</v>
      </c>
      <c r="F22" s="216" t="e">
        <f t="shared" si="4"/>
        <v>#REF!</v>
      </c>
      <c r="G22" s="216" t="e">
        <f t="shared" si="4"/>
        <v>#REF!</v>
      </c>
      <c r="H22" s="216" t="e">
        <f t="shared" si="4"/>
        <v>#REF!</v>
      </c>
      <c r="I22" s="216" t="e">
        <f t="shared" si="4"/>
        <v>#REF!</v>
      </c>
      <c r="J22" s="216" t="e">
        <f t="shared" si="4"/>
        <v>#REF!</v>
      </c>
      <c r="K22" s="216" t="e">
        <f t="shared" si="4"/>
        <v>#REF!</v>
      </c>
      <c r="L22" s="216" t="e">
        <f t="shared" si="4"/>
        <v>#REF!</v>
      </c>
      <c r="M22" s="216" t="e">
        <f t="shared" si="4"/>
        <v>#REF!</v>
      </c>
      <c r="N22" s="216" t="e">
        <f t="shared" si="4"/>
        <v>#REF!</v>
      </c>
      <c r="O22" s="216" t="e">
        <f t="shared" si="4"/>
        <v>#REF!</v>
      </c>
      <c r="P22" s="216" t="e">
        <f t="shared" si="4"/>
        <v>#REF!</v>
      </c>
      <c r="Q22" s="216" t="e">
        <f t="shared" si="4"/>
        <v>#REF!</v>
      </c>
      <c r="R22" s="216" t="e">
        <f t="shared" si="4"/>
        <v>#REF!</v>
      </c>
      <c r="S22" s="216" t="e">
        <f t="shared" si="3"/>
        <v>#REF!</v>
      </c>
      <c r="T22" s="216" t="e">
        <f t="shared" si="3"/>
        <v>#REF!</v>
      </c>
      <c r="U22" s="216" t="e">
        <f t="shared" si="3"/>
        <v>#REF!</v>
      </c>
      <c r="V22" s="216" t="e">
        <f t="shared" si="3"/>
        <v>#REF!</v>
      </c>
      <c r="W22" s="216" t="e">
        <f t="shared" si="3"/>
        <v>#REF!</v>
      </c>
      <c r="X22" s="216" t="e">
        <f t="shared" si="3"/>
        <v>#REF!</v>
      </c>
      <c r="Y22" s="216" t="e">
        <f t="shared" si="3"/>
        <v>#REF!</v>
      </c>
      <c r="Z22" s="216" t="e">
        <f t="shared" si="3"/>
        <v>#REF!</v>
      </c>
      <c r="AA22" s="216" t="e">
        <f t="shared" si="3"/>
        <v>#REF!</v>
      </c>
      <c r="AB22" s="216" t="e">
        <f t="shared" si="3"/>
        <v>#REF!</v>
      </c>
      <c r="AC22" s="216" t="e">
        <f t="shared" si="3"/>
        <v>#REF!</v>
      </c>
      <c r="AD22" s="216" t="e">
        <f t="shared" si="3"/>
        <v>#REF!</v>
      </c>
      <c r="AE22" s="216"/>
    </row>
    <row r="23" spans="2:31" s="58" customFormat="1" hidden="1" outlineLevel="1" x14ac:dyDescent="0.3">
      <c r="B23" s="58" t="s">
        <v>8</v>
      </c>
      <c r="C23" s="216" t="e">
        <f t="shared" si="2"/>
        <v>#REF!</v>
      </c>
      <c r="D23" s="216" t="e">
        <f t="shared" si="3"/>
        <v>#REF!</v>
      </c>
      <c r="E23" s="216" t="e">
        <f t="shared" si="3"/>
        <v>#REF!</v>
      </c>
      <c r="F23" s="216" t="e">
        <f t="shared" si="3"/>
        <v>#REF!</v>
      </c>
      <c r="G23" s="216" t="e">
        <f t="shared" si="3"/>
        <v>#REF!</v>
      </c>
      <c r="H23" s="216" t="e">
        <f t="shared" si="3"/>
        <v>#REF!</v>
      </c>
      <c r="I23" s="216" t="e">
        <f t="shared" si="3"/>
        <v>#REF!</v>
      </c>
      <c r="J23" s="216" t="e">
        <f t="shared" si="3"/>
        <v>#REF!</v>
      </c>
      <c r="K23" s="216" t="e">
        <f t="shared" si="3"/>
        <v>#REF!</v>
      </c>
      <c r="L23" s="216" t="e">
        <f t="shared" si="3"/>
        <v>#REF!</v>
      </c>
      <c r="M23" s="216" t="e">
        <f t="shared" si="3"/>
        <v>#REF!</v>
      </c>
      <c r="N23" s="216" t="e">
        <f t="shared" si="3"/>
        <v>#REF!</v>
      </c>
      <c r="O23" s="216" t="e">
        <f t="shared" si="3"/>
        <v>#REF!</v>
      </c>
      <c r="P23" s="216" t="e">
        <f t="shared" si="3"/>
        <v>#REF!</v>
      </c>
      <c r="Q23" s="216" t="e">
        <f t="shared" si="3"/>
        <v>#REF!</v>
      </c>
      <c r="R23" s="216" t="e">
        <f t="shared" si="3"/>
        <v>#REF!</v>
      </c>
      <c r="S23" s="216" t="e">
        <f t="shared" si="3"/>
        <v>#REF!</v>
      </c>
      <c r="T23" s="216" t="e">
        <f t="shared" si="3"/>
        <v>#REF!</v>
      </c>
      <c r="U23" s="216" t="e">
        <f t="shared" si="3"/>
        <v>#REF!</v>
      </c>
      <c r="V23" s="216" t="e">
        <f t="shared" si="3"/>
        <v>#REF!</v>
      </c>
      <c r="W23" s="216" t="e">
        <f t="shared" si="3"/>
        <v>#REF!</v>
      </c>
      <c r="X23" s="216" t="e">
        <f t="shared" si="3"/>
        <v>#REF!</v>
      </c>
      <c r="Y23" s="216" t="e">
        <f t="shared" si="3"/>
        <v>#REF!</v>
      </c>
      <c r="Z23" s="216" t="e">
        <f t="shared" si="3"/>
        <v>#REF!</v>
      </c>
      <c r="AA23" s="216" t="e">
        <f t="shared" si="3"/>
        <v>#REF!</v>
      </c>
      <c r="AB23" s="216" t="e">
        <f t="shared" si="3"/>
        <v>#REF!</v>
      </c>
      <c r="AC23" s="216" t="e">
        <f t="shared" si="3"/>
        <v>#REF!</v>
      </c>
      <c r="AD23" s="216" t="e">
        <f t="shared" si="3"/>
        <v>#REF!</v>
      </c>
      <c r="AE23" s="216"/>
    </row>
    <row r="24" spans="2:31" s="58" customFormat="1" hidden="1" outlineLevel="1" x14ac:dyDescent="0.3">
      <c r="B24" s="58" t="s">
        <v>9</v>
      </c>
      <c r="C24" s="216" t="e">
        <f t="shared" si="2"/>
        <v>#REF!</v>
      </c>
      <c r="D24" s="216" t="e">
        <f t="shared" si="3"/>
        <v>#REF!</v>
      </c>
      <c r="E24" s="216" t="e">
        <f t="shared" si="3"/>
        <v>#REF!</v>
      </c>
      <c r="F24" s="216" t="e">
        <f t="shared" si="3"/>
        <v>#REF!</v>
      </c>
      <c r="G24" s="216" t="e">
        <f t="shared" si="3"/>
        <v>#REF!</v>
      </c>
      <c r="H24" s="216" t="e">
        <f t="shared" si="3"/>
        <v>#REF!</v>
      </c>
      <c r="I24" s="216" t="e">
        <f t="shared" si="3"/>
        <v>#REF!</v>
      </c>
      <c r="J24" s="216" t="e">
        <f t="shared" si="3"/>
        <v>#REF!</v>
      </c>
      <c r="K24" s="216" t="e">
        <f t="shared" si="3"/>
        <v>#REF!</v>
      </c>
      <c r="L24" s="216" t="e">
        <f t="shared" si="3"/>
        <v>#REF!</v>
      </c>
      <c r="M24" s="216" t="e">
        <f t="shared" si="3"/>
        <v>#REF!</v>
      </c>
      <c r="N24" s="216" t="e">
        <f t="shared" si="3"/>
        <v>#REF!</v>
      </c>
      <c r="O24" s="216" t="e">
        <f t="shared" si="3"/>
        <v>#REF!</v>
      </c>
      <c r="P24" s="216" t="e">
        <f t="shared" si="3"/>
        <v>#REF!</v>
      </c>
      <c r="Q24" s="216" t="e">
        <f t="shared" si="3"/>
        <v>#REF!</v>
      </c>
      <c r="R24" s="216" t="e">
        <f t="shared" si="3"/>
        <v>#REF!</v>
      </c>
      <c r="S24" s="216" t="e">
        <f t="shared" si="3"/>
        <v>#REF!</v>
      </c>
      <c r="T24" s="216" t="e">
        <f t="shared" si="3"/>
        <v>#REF!</v>
      </c>
      <c r="U24" s="216" t="e">
        <f t="shared" si="3"/>
        <v>#REF!</v>
      </c>
      <c r="V24" s="216" t="e">
        <f t="shared" si="3"/>
        <v>#REF!</v>
      </c>
      <c r="W24" s="216" t="e">
        <f t="shared" si="3"/>
        <v>#REF!</v>
      </c>
      <c r="X24" s="216" t="e">
        <f t="shared" si="3"/>
        <v>#REF!</v>
      </c>
      <c r="Y24" s="216" t="e">
        <f t="shared" si="3"/>
        <v>#REF!</v>
      </c>
      <c r="Z24" s="216" t="e">
        <f t="shared" si="3"/>
        <v>#REF!</v>
      </c>
      <c r="AA24" s="216" t="e">
        <f t="shared" si="3"/>
        <v>#REF!</v>
      </c>
      <c r="AB24" s="216" t="e">
        <f t="shared" si="3"/>
        <v>#REF!</v>
      </c>
      <c r="AC24" s="216" t="e">
        <f t="shared" si="3"/>
        <v>#REF!</v>
      </c>
      <c r="AD24" s="216" t="e">
        <f t="shared" si="3"/>
        <v>#REF!</v>
      </c>
      <c r="AE24" s="216"/>
    </row>
    <row r="25" spans="2:31" s="58" customFormat="1" hidden="1" outlineLevel="1" x14ac:dyDescent="0.3">
      <c r="B25" s="58" t="s">
        <v>10</v>
      </c>
      <c r="C25" s="216" t="e">
        <f t="shared" si="2"/>
        <v>#REF!</v>
      </c>
      <c r="D25" s="216" t="e">
        <f t="shared" si="3"/>
        <v>#REF!</v>
      </c>
      <c r="E25" s="216" t="e">
        <f t="shared" si="3"/>
        <v>#REF!</v>
      </c>
      <c r="F25" s="216" t="e">
        <f t="shared" si="3"/>
        <v>#REF!</v>
      </c>
      <c r="G25" s="216" t="e">
        <f t="shared" si="3"/>
        <v>#REF!</v>
      </c>
      <c r="H25" s="216" t="e">
        <f t="shared" si="3"/>
        <v>#REF!</v>
      </c>
      <c r="I25" s="216" t="e">
        <f t="shared" si="3"/>
        <v>#REF!</v>
      </c>
      <c r="J25" s="216" t="e">
        <f t="shared" si="3"/>
        <v>#REF!</v>
      </c>
      <c r="K25" s="216" t="e">
        <f t="shared" si="3"/>
        <v>#REF!</v>
      </c>
      <c r="L25" s="216" t="e">
        <f t="shared" si="3"/>
        <v>#REF!</v>
      </c>
      <c r="M25" s="216" t="e">
        <f t="shared" si="3"/>
        <v>#REF!</v>
      </c>
      <c r="N25" s="216" t="e">
        <f t="shared" si="3"/>
        <v>#REF!</v>
      </c>
      <c r="O25" s="216" t="e">
        <f t="shared" si="3"/>
        <v>#REF!</v>
      </c>
      <c r="P25" s="216" t="e">
        <f t="shared" si="3"/>
        <v>#REF!</v>
      </c>
      <c r="Q25" s="216" t="e">
        <f t="shared" si="3"/>
        <v>#REF!</v>
      </c>
      <c r="R25" s="216" t="e">
        <f t="shared" si="3"/>
        <v>#REF!</v>
      </c>
      <c r="S25" s="216" t="e">
        <f t="shared" si="3"/>
        <v>#REF!</v>
      </c>
      <c r="T25" s="216" t="e">
        <f t="shared" si="3"/>
        <v>#REF!</v>
      </c>
      <c r="U25" s="216" t="e">
        <f t="shared" si="3"/>
        <v>#REF!</v>
      </c>
      <c r="V25" s="216" t="e">
        <f t="shared" si="3"/>
        <v>#REF!</v>
      </c>
      <c r="W25" s="216" t="e">
        <f t="shared" si="3"/>
        <v>#REF!</v>
      </c>
      <c r="X25" s="216" t="e">
        <f t="shared" si="3"/>
        <v>#REF!</v>
      </c>
      <c r="Y25" s="216" t="e">
        <f t="shared" si="3"/>
        <v>#REF!</v>
      </c>
      <c r="Z25" s="216" t="e">
        <f t="shared" si="3"/>
        <v>#REF!</v>
      </c>
      <c r="AA25" s="216" t="e">
        <f t="shared" si="3"/>
        <v>#REF!</v>
      </c>
      <c r="AB25" s="216" t="e">
        <f t="shared" si="3"/>
        <v>#REF!</v>
      </c>
      <c r="AC25" s="216" t="e">
        <f t="shared" si="3"/>
        <v>#REF!</v>
      </c>
      <c r="AD25" s="216" t="e">
        <f t="shared" si="3"/>
        <v>#REF!</v>
      </c>
      <c r="AE25" s="216"/>
    </row>
    <row r="26" spans="2:31" s="58" customFormat="1" hidden="1" outlineLevel="1" x14ac:dyDescent="0.3">
      <c r="B26" s="58" t="s">
        <v>11</v>
      </c>
      <c r="C26" s="216" t="e">
        <f t="shared" si="2"/>
        <v>#REF!</v>
      </c>
      <c r="D26" s="216" t="e">
        <f t="shared" si="3"/>
        <v>#REF!</v>
      </c>
      <c r="E26" s="216" t="e">
        <f t="shared" si="3"/>
        <v>#REF!</v>
      </c>
      <c r="F26" s="216" t="e">
        <f t="shared" si="3"/>
        <v>#REF!</v>
      </c>
      <c r="G26" s="216" t="e">
        <f t="shared" si="3"/>
        <v>#REF!</v>
      </c>
      <c r="H26" s="216" t="e">
        <f t="shared" si="3"/>
        <v>#REF!</v>
      </c>
      <c r="I26" s="216" t="e">
        <f t="shared" si="3"/>
        <v>#REF!</v>
      </c>
      <c r="J26" s="216" t="e">
        <f t="shared" si="3"/>
        <v>#REF!</v>
      </c>
      <c r="K26" s="216" t="e">
        <f t="shared" si="3"/>
        <v>#REF!</v>
      </c>
      <c r="L26" s="216" t="e">
        <f t="shared" si="3"/>
        <v>#REF!</v>
      </c>
      <c r="M26" s="216" t="e">
        <f t="shared" si="3"/>
        <v>#REF!</v>
      </c>
      <c r="N26" s="216" t="e">
        <f t="shared" si="3"/>
        <v>#REF!</v>
      </c>
      <c r="O26" s="216" t="e">
        <f t="shared" si="3"/>
        <v>#REF!</v>
      </c>
      <c r="P26" s="216" t="e">
        <f t="shared" si="3"/>
        <v>#REF!</v>
      </c>
      <c r="Q26" s="216" t="e">
        <f t="shared" si="3"/>
        <v>#REF!</v>
      </c>
      <c r="R26" s="216" t="e">
        <f t="shared" si="3"/>
        <v>#REF!</v>
      </c>
      <c r="S26" s="216" t="e">
        <f t="shared" si="3"/>
        <v>#REF!</v>
      </c>
      <c r="T26" s="216" t="e">
        <f t="shared" si="3"/>
        <v>#REF!</v>
      </c>
      <c r="U26" s="216" t="e">
        <f t="shared" si="3"/>
        <v>#REF!</v>
      </c>
      <c r="V26" s="216" t="e">
        <f t="shared" si="3"/>
        <v>#REF!</v>
      </c>
      <c r="W26" s="216" t="e">
        <f t="shared" si="3"/>
        <v>#REF!</v>
      </c>
      <c r="X26" s="216" t="e">
        <f t="shared" si="3"/>
        <v>#REF!</v>
      </c>
      <c r="Y26" s="216" t="e">
        <f t="shared" si="3"/>
        <v>#REF!</v>
      </c>
      <c r="Z26" s="216" t="e">
        <f t="shared" si="3"/>
        <v>#REF!</v>
      </c>
      <c r="AA26" s="216" t="e">
        <f t="shared" si="3"/>
        <v>#REF!</v>
      </c>
      <c r="AB26" s="216" t="e">
        <f t="shared" si="3"/>
        <v>#REF!</v>
      </c>
      <c r="AC26" s="216" t="e">
        <f t="shared" si="3"/>
        <v>#REF!</v>
      </c>
      <c r="AD26" s="216" t="e">
        <f t="shared" si="3"/>
        <v>#REF!</v>
      </c>
      <c r="AE26" s="216"/>
    </row>
    <row r="27" spans="2:31" s="58" customFormat="1" hidden="1" outlineLevel="1" x14ac:dyDescent="0.3">
      <c r="B27" s="58" t="s">
        <v>12</v>
      </c>
      <c r="C27" s="216" t="e">
        <f t="shared" si="2"/>
        <v>#REF!</v>
      </c>
      <c r="D27" s="216" t="e">
        <f t="shared" si="3"/>
        <v>#REF!</v>
      </c>
      <c r="E27" s="216" t="e">
        <f t="shared" si="3"/>
        <v>#REF!</v>
      </c>
      <c r="F27" s="216" t="e">
        <f t="shared" si="3"/>
        <v>#REF!</v>
      </c>
      <c r="G27" s="216" t="e">
        <f t="shared" si="3"/>
        <v>#REF!</v>
      </c>
      <c r="H27" s="216" t="e">
        <f t="shared" si="3"/>
        <v>#REF!</v>
      </c>
      <c r="I27" s="216" t="e">
        <f t="shared" si="3"/>
        <v>#REF!</v>
      </c>
      <c r="J27" s="216" t="e">
        <f t="shared" si="3"/>
        <v>#REF!</v>
      </c>
      <c r="K27" s="216" t="e">
        <f t="shared" si="3"/>
        <v>#REF!</v>
      </c>
      <c r="L27" s="216" t="e">
        <f t="shared" si="3"/>
        <v>#REF!</v>
      </c>
      <c r="M27" s="216" t="e">
        <f t="shared" si="3"/>
        <v>#REF!</v>
      </c>
      <c r="N27" s="216" t="e">
        <f t="shared" si="3"/>
        <v>#REF!</v>
      </c>
      <c r="O27" s="216" t="e">
        <f t="shared" si="3"/>
        <v>#REF!</v>
      </c>
      <c r="P27" s="216" t="e">
        <f t="shared" si="3"/>
        <v>#REF!</v>
      </c>
      <c r="Q27" s="216" t="e">
        <f t="shared" si="3"/>
        <v>#REF!</v>
      </c>
      <c r="R27" s="216" t="e">
        <f t="shared" si="3"/>
        <v>#REF!</v>
      </c>
      <c r="S27" s="216" t="e">
        <f t="shared" si="3"/>
        <v>#REF!</v>
      </c>
      <c r="T27" s="216" t="e">
        <f t="shared" si="3"/>
        <v>#REF!</v>
      </c>
      <c r="U27" s="216" t="e">
        <f t="shared" si="3"/>
        <v>#REF!</v>
      </c>
      <c r="V27" s="216" t="e">
        <f t="shared" si="3"/>
        <v>#REF!</v>
      </c>
      <c r="W27" s="216" t="e">
        <f t="shared" si="3"/>
        <v>#REF!</v>
      </c>
      <c r="X27" s="216" t="e">
        <f t="shared" si="3"/>
        <v>#REF!</v>
      </c>
      <c r="Y27" s="216" t="e">
        <f t="shared" si="3"/>
        <v>#REF!</v>
      </c>
      <c r="Z27" s="216" t="e">
        <f t="shared" si="3"/>
        <v>#REF!</v>
      </c>
      <c r="AA27" s="216" t="e">
        <f t="shared" si="3"/>
        <v>#REF!</v>
      </c>
      <c r="AB27" s="216" t="e">
        <f t="shared" si="3"/>
        <v>#REF!</v>
      </c>
      <c r="AC27" s="216" t="e">
        <f t="shared" si="3"/>
        <v>#REF!</v>
      </c>
      <c r="AD27" s="216" t="e">
        <f t="shared" si="3"/>
        <v>#REF!</v>
      </c>
      <c r="AE27" s="216"/>
    </row>
    <row r="28" spans="2:31" s="58" customFormat="1" hidden="1" outlineLevel="1" x14ac:dyDescent="0.3">
      <c r="B28" s="58" t="s">
        <v>13</v>
      </c>
      <c r="C28" s="216" t="e">
        <f t="shared" si="2"/>
        <v>#REF!</v>
      </c>
      <c r="D28" s="216" t="e">
        <f t="shared" si="3"/>
        <v>#REF!</v>
      </c>
      <c r="E28" s="216" t="e">
        <f t="shared" si="3"/>
        <v>#REF!</v>
      </c>
      <c r="F28" s="216" t="e">
        <f t="shared" si="3"/>
        <v>#REF!</v>
      </c>
      <c r="G28" s="216" t="e">
        <f t="shared" si="3"/>
        <v>#REF!</v>
      </c>
      <c r="H28" s="216" t="e">
        <f t="shared" si="3"/>
        <v>#REF!</v>
      </c>
      <c r="I28" s="216" t="e">
        <f t="shared" si="3"/>
        <v>#REF!</v>
      </c>
      <c r="J28" s="216" t="e">
        <f t="shared" si="3"/>
        <v>#REF!</v>
      </c>
      <c r="K28" s="216" t="e">
        <f t="shared" si="3"/>
        <v>#REF!</v>
      </c>
      <c r="L28" s="216" t="e">
        <f t="shared" si="3"/>
        <v>#REF!</v>
      </c>
      <c r="M28" s="216" t="e">
        <f t="shared" si="3"/>
        <v>#REF!</v>
      </c>
      <c r="N28" s="216" t="e">
        <f t="shared" si="3"/>
        <v>#REF!</v>
      </c>
      <c r="O28" s="216" t="e">
        <f t="shared" si="3"/>
        <v>#REF!</v>
      </c>
      <c r="P28" s="216" t="e">
        <f t="shared" si="3"/>
        <v>#REF!</v>
      </c>
      <c r="Q28" s="216" t="e">
        <f t="shared" si="3"/>
        <v>#REF!</v>
      </c>
      <c r="R28" s="216" t="e">
        <f t="shared" si="3"/>
        <v>#REF!</v>
      </c>
      <c r="S28" s="216" t="e">
        <f t="shared" si="3"/>
        <v>#REF!</v>
      </c>
      <c r="T28" s="216" t="e">
        <f t="shared" si="3"/>
        <v>#REF!</v>
      </c>
      <c r="U28" s="216" t="e">
        <f t="shared" si="3"/>
        <v>#REF!</v>
      </c>
      <c r="V28" s="216" t="e">
        <f t="shared" si="3"/>
        <v>#REF!</v>
      </c>
      <c r="W28" s="216" t="e">
        <f t="shared" si="3"/>
        <v>#REF!</v>
      </c>
      <c r="X28" s="216" t="e">
        <f t="shared" si="3"/>
        <v>#REF!</v>
      </c>
      <c r="Y28" s="216" t="e">
        <f t="shared" si="3"/>
        <v>#REF!</v>
      </c>
      <c r="Z28" s="216" t="e">
        <f t="shared" si="3"/>
        <v>#REF!</v>
      </c>
      <c r="AA28" s="216" t="e">
        <f t="shared" si="3"/>
        <v>#REF!</v>
      </c>
      <c r="AB28" s="216" t="e">
        <f t="shared" si="3"/>
        <v>#REF!</v>
      </c>
      <c r="AC28" s="216" t="e">
        <f t="shared" si="3"/>
        <v>#REF!</v>
      </c>
      <c r="AD28" s="216" t="e">
        <f t="shared" si="3"/>
        <v>#REF!</v>
      </c>
      <c r="AE28" s="216"/>
    </row>
    <row r="29" spans="2:31" s="58" customFormat="1" hidden="1" outlineLevel="1" x14ac:dyDescent="0.3">
      <c r="B29" s="58" t="s">
        <v>14</v>
      </c>
      <c r="C29" s="216" t="e">
        <f t="shared" si="2"/>
        <v>#REF!</v>
      </c>
      <c r="D29" s="216" t="e">
        <f t="shared" si="3"/>
        <v>#REF!</v>
      </c>
      <c r="E29" s="216" t="e">
        <f t="shared" si="3"/>
        <v>#REF!</v>
      </c>
      <c r="F29" s="216" t="e">
        <f t="shared" si="3"/>
        <v>#REF!</v>
      </c>
      <c r="G29" s="216" t="e">
        <f t="shared" si="3"/>
        <v>#REF!</v>
      </c>
      <c r="H29" s="216" t="e">
        <f t="shared" si="3"/>
        <v>#REF!</v>
      </c>
      <c r="I29" s="216" t="e">
        <f t="shared" si="3"/>
        <v>#REF!</v>
      </c>
      <c r="J29" s="216" t="e">
        <f t="shared" si="3"/>
        <v>#REF!</v>
      </c>
      <c r="K29" s="216" t="e">
        <f t="shared" si="3"/>
        <v>#REF!</v>
      </c>
      <c r="L29" s="216" t="e">
        <f t="shared" si="3"/>
        <v>#REF!</v>
      </c>
      <c r="M29" s="216" t="e">
        <f t="shared" si="3"/>
        <v>#REF!</v>
      </c>
      <c r="N29" s="216" t="e">
        <f t="shared" si="3"/>
        <v>#REF!</v>
      </c>
      <c r="O29" s="216" t="e">
        <f t="shared" si="3"/>
        <v>#REF!</v>
      </c>
      <c r="P29" s="216" t="e">
        <f t="shared" si="3"/>
        <v>#REF!</v>
      </c>
      <c r="Q29" s="216" t="e">
        <f t="shared" si="3"/>
        <v>#REF!</v>
      </c>
      <c r="R29" s="216" t="e">
        <f t="shared" si="3"/>
        <v>#REF!</v>
      </c>
      <c r="S29" s="216" t="e">
        <f t="shared" si="3"/>
        <v>#REF!</v>
      </c>
      <c r="T29" s="216" t="e">
        <f t="shared" si="3"/>
        <v>#REF!</v>
      </c>
      <c r="U29" s="216" t="e">
        <f t="shared" si="3"/>
        <v>#REF!</v>
      </c>
      <c r="V29" s="216" t="e">
        <f t="shared" si="3"/>
        <v>#REF!</v>
      </c>
      <c r="W29" s="216" t="e">
        <f t="shared" si="3"/>
        <v>#REF!</v>
      </c>
      <c r="X29" s="216" t="e">
        <f t="shared" si="3"/>
        <v>#REF!</v>
      </c>
      <c r="Y29" s="216" t="e">
        <f t="shared" si="3"/>
        <v>#REF!</v>
      </c>
      <c r="Z29" s="216" t="e">
        <f t="shared" si="3"/>
        <v>#REF!</v>
      </c>
      <c r="AA29" s="216" t="e">
        <f t="shared" si="3"/>
        <v>#REF!</v>
      </c>
      <c r="AB29" s="216" t="e">
        <f t="shared" si="3"/>
        <v>#REF!</v>
      </c>
      <c r="AC29" s="216" t="e">
        <f t="shared" si="3"/>
        <v>#REF!</v>
      </c>
      <c r="AD29" s="216" t="e">
        <f t="shared" si="3"/>
        <v>#REF!</v>
      </c>
      <c r="AE29" s="216"/>
    </row>
    <row r="30" spans="2:31" s="58" customFormat="1" ht="14.5" hidden="1" outlineLevel="1" thickBot="1" x14ac:dyDescent="0.35">
      <c r="C30" s="217" t="e">
        <f>SUM(C21:C29)</f>
        <v>#REF!</v>
      </c>
      <c r="D30" s="217" t="e">
        <f t="shared" ref="D30:AD30" si="5">SUM(D21:D29)</f>
        <v>#REF!</v>
      </c>
      <c r="E30" s="217" t="e">
        <f t="shared" si="5"/>
        <v>#REF!</v>
      </c>
      <c r="F30" s="217" t="e">
        <f t="shared" si="5"/>
        <v>#REF!</v>
      </c>
      <c r="G30" s="217" t="e">
        <f t="shared" si="5"/>
        <v>#REF!</v>
      </c>
      <c r="H30" s="217" t="e">
        <f t="shared" si="5"/>
        <v>#REF!</v>
      </c>
      <c r="I30" s="217" t="e">
        <f t="shared" si="5"/>
        <v>#REF!</v>
      </c>
      <c r="J30" s="217" t="e">
        <f t="shared" si="5"/>
        <v>#REF!</v>
      </c>
      <c r="K30" s="217" t="e">
        <f t="shared" si="5"/>
        <v>#REF!</v>
      </c>
      <c r="L30" s="217" t="e">
        <f t="shared" si="5"/>
        <v>#REF!</v>
      </c>
      <c r="M30" s="217" t="e">
        <f t="shared" si="5"/>
        <v>#REF!</v>
      </c>
      <c r="N30" s="217" t="e">
        <f t="shared" si="5"/>
        <v>#REF!</v>
      </c>
      <c r="O30" s="217" t="e">
        <f t="shared" si="5"/>
        <v>#REF!</v>
      </c>
      <c r="P30" s="217" t="e">
        <f t="shared" si="5"/>
        <v>#REF!</v>
      </c>
      <c r="Q30" s="217" t="e">
        <f t="shared" si="5"/>
        <v>#REF!</v>
      </c>
      <c r="R30" s="217" t="e">
        <f t="shared" si="5"/>
        <v>#REF!</v>
      </c>
      <c r="S30" s="217" t="e">
        <f t="shared" si="5"/>
        <v>#REF!</v>
      </c>
      <c r="T30" s="217" t="e">
        <f t="shared" si="5"/>
        <v>#REF!</v>
      </c>
      <c r="U30" s="217" t="e">
        <f t="shared" si="5"/>
        <v>#REF!</v>
      </c>
      <c r="V30" s="217" t="e">
        <f t="shared" si="5"/>
        <v>#REF!</v>
      </c>
      <c r="W30" s="217" t="e">
        <f t="shared" si="5"/>
        <v>#REF!</v>
      </c>
      <c r="X30" s="217" t="e">
        <f t="shared" si="5"/>
        <v>#REF!</v>
      </c>
      <c r="Y30" s="217" t="e">
        <f t="shared" si="5"/>
        <v>#REF!</v>
      </c>
      <c r="Z30" s="217" t="e">
        <f t="shared" si="5"/>
        <v>#REF!</v>
      </c>
      <c r="AA30" s="217" t="e">
        <f t="shared" si="5"/>
        <v>#REF!</v>
      </c>
      <c r="AB30" s="217" t="e">
        <f t="shared" si="5"/>
        <v>#REF!</v>
      </c>
      <c r="AC30" s="217" t="e">
        <f t="shared" si="5"/>
        <v>#REF!</v>
      </c>
      <c r="AD30" s="217" t="e">
        <f t="shared" si="5"/>
        <v>#REF!</v>
      </c>
      <c r="AE30" s="216"/>
    </row>
    <row r="31" spans="2:31" collapsed="1" x14ac:dyDescent="0.3"/>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2:J113"/>
  <sheetViews>
    <sheetView showGridLines="0" workbookViewId="0">
      <selection activeCell="E18" sqref="E18"/>
    </sheetView>
  </sheetViews>
  <sheetFormatPr defaultColWidth="8.90625" defaultRowHeight="14" x14ac:dyDescent="0.3"/>
  <cols>
    <col min="1" max="1" width="4.54296875" style="4" customWidth="1"/>
    <col min="2" max="2" width="22.08984375" style="4" customWidth="1"/>
    <col min="3" max="8" width="16.90625" style="4" customWidth="1"/>
    <col min="9" max="9" width="12.08984375" style="4" bestFit="1" customWidth="1"/>
    <col min="10" max="10" width="8.90625" style="4"/>
    <col min="11" max="11" width="12" style="4" bestFit="1" customWidth="1"/>
    <col min="12" max="16384" width="8.90625" style="4"/>
  </cols>
  <sheetData>
    <row r="2" spans="1:10" x14ac:dyDescent="0.3">
      <c r="B2" s="5" t="s">
        <v>171</v>
      </c>
    </row>
    <row r="3" spans="1:10" ht="14.5" thickBot="1" x14ac:dyDescent="0.35"/>
    <row r="4" spans="1:10" ht="42.5" thickBot="1" x14ac:dyDescent="0.35">
      <c r="C4" s="193" t="s">
        <v>203</v>
      </c>
      <c r="D4" s="193" t="s">
        <v>204</v>
      </c>
      <c r="E4" s="193" t="s">
        <v>205</v>
      </c>
      <c r="F4" s="193" t="s">
        <v>206</v>
      </c>
      <c r="G4" s="193" t="s">
        <v>207</v>
      </c>
      <c r="H4" s="240" t="s">
        <v>208</v>
      </c>
    </row>
    <row r="5" spans="1:10" ht="14.5" thickBot="1" x14ac:dyDescent="0.35">
      <c r="A5" s="58">
        <v>53</v>
      </c>
      <c r="B5" s="190" t="s">
        <v>6</v>
      </c>
      <c r="C5" s="264"/>
      <c r="D5" s="264" t="e">
        <f>#REF!</f>
        <v>#REF!</v>
      </c>
      <c r="E5" s="264" t="e">
        <f>#REF!</f>
        <v>#REF!</v>
      </c>
      <c r="F5" s="264" t="e">
        <f>#REF!</f>
        <v>#REF!</v>
      </c>
      <c r="G5" s="264" t="e">
        <f>#REF!</f>
        <v>#REF!</v>
      </c>
      <c r="H5" s="264" t="e">
        <f>#REF!</f>
        <v>#REF!</v>
      </c>
      <c r="I5" s="121" t="e">
        <f>SUM(C5:H5)</f>
        <v>#REF!</v>
      </c>
      <c r="J5" s="241" t="e">
        <f>I5='Summary by Site - Land Variant'!C6</f>
        <v>#REF!</v>
      </c>
    </row>
    <row r="6" spans="1:10" ht="14.5" thickBot="1" x14ac:dyDescent="0.35">
      <c r="A6" s="58">
        <v>35</v>
      </c>
      <c r="B6" s="190" t="s">
        <v>7</v>
      </c>
      <c r="C6" s="266" t="e">
        <f>#REF!</f>
        <v>#REF!</v>
      </c>
      <c r="D6" s="266" t="e">
        <f>#REF!+('Summary by Site - Land Variant'!C7-#REF!)</f>
        <v>#REF!</v>
      </c>
      <c r="E6" s="266" t="e">
        <f>#REF!</f>
        <v>#REF!</v>
      </c>
      <c r="F6" s="266" t="e">
        <f>#REF!</f>
        <v>#REF!</v>
      </c>
      <c r="G6" s="266" t="e">
        <f>#REF!</f>
        <v>#REF!</v>
      </c>
      <c r="H6" s="266" t="e">
        <f>#REF!</f>
        <v>#REF!</v>
      </c>
      <c r="I6" s="121" t="e">
        <f>SUM(C6:H6)</f>
        <v>#REF!</v>
      </c>
      <c r="J6" s="241" t="e">
        <f>I6='Summary by Site - Land Variant'!C7</f>
        <v>#REF!</v>
      </c>
    </row>
    <row r="7" spans="1:10" ht="14.5" thickBot="1" x14ac:dyDescent="0.35">
      <c r="A7" s="58">
        <v>15</v>
      </c>
      <c r="B7" s="190" t="s">
        <v>8</v>
      </c>
      <c r="C7" s="191" t="e">
        <f>#REF!</f>
        <v>#REF!</v>
      </c>
      <c r="D7" s="191" t="e">
        <f>#REF!</f>
        <v>#REF!</v>
      </c>
      <c r="E7" s="191" t="e">
        <f>#REF!</f>
        <v>#REF!</v>
      </c>
      <c r="F7" s="191" t="e">
        <f>#REF!</f>
        <v>#REF!</v>
      </c>
      <c r="G7" s="191" t="e">
        <f>#REF!</f>
        <v>#REF!</v>
      </c>
      <c r="H7" s="191" t="e">
        <f>#REF!</f>
        <v>#REF!</v>
      </c>
      <c r="I7" s="121" t="e">
        <f t="shared" ref="I7:I13" si="0">SUM(C7:H7)</f>
        <v>#REF!</v>
      </c>
      <c r="J7" s="241" t="e">
        <f>I7='Summary by Site - Land Variant'!C8</f>
        <v>#REF!</v>
      </c>
    </row>
    <row r="8" spans="1:10" ht="14.5" thickBot="1" x14ac:dyDescent="0.35">
      <c r="A8" s="58">
        <v>8</v>
      </c>
      <c r="B8" s="190" t="s">
        <v>9</v>
      </c>
      <c r="C8" s="191" t="e">
        <f>#REF!</f>
        <v>#REF!</v>
      </c>
      <c r="D8" s="191" t="e">
        <f>#REF!</f>
        <v>#REF!</v>
      </c>
      <c r="E8" s="191" t="e">
        <f>#REF!</f>
        <v>#REF!</v>
      </c>
      <c r="F8" s="191" t="e">
        <f>#REF!</f>
        <v>#REF!</v>
      </c>
      <c r="G8" s="191" t="e">
        <f>#REF!</f>
        <v>#REF!</v>
      </c>
      <c r="H8" s="191" t="e">
        <f>#REF!</f>
        <v>#REF!</v>
      </c>
      <c r="I8" s="121" t="e">
        <f t="shared" si="0"/>
        <v>#REF!</v>
      </c>
      <c r="J8" s="241" t="e">
        <f>I8='Summary by Site - Land Variant'!C9</f>
        <v>#REF!</v>
      </c>
    </row>
    <row r="9" spans="1:10" ht="14.5" thickBot="1" x14ac:dyDescent="0.35">
      <c r="A9" s="58">
        <v>16</v>
      </c>
      <c r="B9" s="190" t="s">
        <v>10</v>
      </c>
      <c r="C9" s="191" t="e">
        <f>#REF!</f>
        <v>#REF!</v>
      </c>
      <c r="D9" s="191" t="e">
        <f>#REF!</f>
        <v>#REF!</v>
      </c>
      <c r="E9" s="191" t="e">
        <f>#REF!</f>
        <v>#REF!</v>
      </c>
      <c r="F9" s="191" t="e">
        <f>#REF!</f>
        <v>#REF!</v>
      </c>
      <c r="G9" s="191" t="e">
        <f>#REF!</f>
        <v>#REF!</v>
      </c>
      <c r="H9" s="191" t="e">
        <f>#REF!</f>
        <v>#REF!</v>
      </c>
      <c r="I9" s="121" t="e">
        <f t="shared" si="0"/>
        <v>#REF!</v>
      </c>
      <c r="J9" s="241" t="e">
        <f>I9='Summary by Site - Land Variant'!C10</f>
        <v>#REF!</v>
      </c>
    </row>
    <row r="10" spans="1:10" ht="14.5" thickBot="1" x14ac:dyDescent="0.35">
      <c r="A10" s="58">
        <v>51</v>
      </c>
      <c r="B10" s="190" t="s">
        <v>11</v>
      </c>
      <c r="C10" s="191" t="e">
        <f>#REF!</f>
        <v>#REF!</v>
      </c>
      <c r="D10" s="191" t="e">
        <f>#REF!</f>
        <v>#REF!</v>
      </c>
      <c r="E10" s="191" t="e">
        <f>#REF!</f>
        <v>#REF!</v>
      </c>
      <c r="F10" s="191" t="e">
        <f>#REF!</f>
        <v>#REF!</v>
      </c>
      <c r="G10" s="191" t="e">
        <f>#REF!</f>
        <v>#REF!</v>
      </c>
      <c r="H10" s="191" t="e">
        <f>#REF!</f>
        <v>#REF!</v>
      </c>
      <c r="I10" s="121" t="e">
        <f t="shared" si="0"/>
        <v>#REF!</v>
      </c>
      <c r="J10" s="241" t="e">
        <f>I10='Summary by Site - Land Variant'!C11</f>
        <v>#REF!</v>
      </c>
    </row>
    <row r="11" spans="1:10" ht="14.5" thickBot="1" x14ac:dyDescent="0.35">
      <c r="A11" s="58">
        <v>22</v>
      </c>
      <c r="B11" s="190" t="s">
        <v>12</v>
      </c>
      <c r="C11" s="191" t="e">
        <f>#REF!</f>
        <v>#REF!</v>
      </c>
      <c r="D11" s="191" t="e">
        <f>#REF!</f>
        <v>#REF!</v>
      </c>
      <c r="E11" s="191" t="e">
        <f>#REF!</f>
        <v>#REF!</v>
      </c>
      <c r="F11" s="191" t="e">
        <f>#REF!</f>
        <v>#REF!</v>
      </c>
      <c r="G11" s="191" t="e">
        <f>#REF!</f>
        <v>#REF!</v>
      </c>
      <c r="H11" s="191" t="e">
        <f>#REF!</f>
        <v>#REF!</v>
      </c>
      <c r="I11" s="121" t="e">
        <f t="shared" si="0"/>
        <v>#REF!</v>
      </c>
      <c r="J11" s="241" t="e">
        <f>I11='Summary by Site - Land Variant'!C12</f>
        <v>#REF!</v>
      </c>
    </row>
    <row r="12" spans="1:10" ht="14.5" thickBot="1" x14ac:dyDescent="0.35">
      <c r="A12" s="58">
        <v>25</v>
      </c>
      <c r="B12" s="190" t="s">
        <v>13</v>
      </c>
      <c r="C12" s="191" t="e">
        <f>#REF!</f>
        <v>#REF!</v>
      </c>
      <c r="D12" s="191" t="e">
        <f>#REF!</f>
        <v>#REF!</v>
      </c>
      <c r="E12" s="191" t="e">
        <f>#REF!</f>
        <v>#REF!</v>
      </c>
      <c r="F12" s="191" t="e">
        <f>#REF!</f>
        <v>#REF!</v>
      </c>
      <c r="G12" s="191" t="e">
        <f>#REF!</f>
        <v>#REF!</v>
      </c>
      <c r="H12" s="191" t="e">
        <f>#REF!</f>
        <v>#REF!</v>
      </c>
      <c r="I12" s="121" t="e">
        <f t="shared" si="0"/>
        <v>#REF!</v>
      </c>
      <c r="J12" s="241" t="e">
        <f>I12='Summary by Site - Land Variant'!C13</f>
        <v>#REF!</v>
      </c>
    </row>
    <row r="13" spans="1:10" ht="14.5" thickBot="1" x14ac:dyDescent="0.35">
      <c r="A13" s="58">
        <v>9</v>
      </c>
      <c r="B13" s="190" t="s">
        <v>14</v>
      </c>
      <c r="C13" s="191" t="e">
        <f>#REF!</f>
        <v>#REF!</v>
      </c>
      <c r="D13" s="191" t="e">
        <f>#REF!</f>
        <v>#REF!</v>
      </c>
      <c r="E13" s="191" t="e">
        <f>#REF!</f>
        <v>#REF!</v>
      </c>
      <c r="F13" s="191" t="e">
        <f>#REF!</f>
        <v>#REF!</v>
      </c>
      <c r="G13" s="191" t="e">
        <f>#REF!</f>
        <v>#REF!</v>
      </c>
      <c r="H13" s="191" t="e">
        <f>#REF!</f>
        <v>#REF!</v>
      </c>
      <c r="I13" s="121" t="e">
        <f t="shared" si="0"/>
        <v>#REF!</v>
      </c>
      <c r="J13" s="241" t="e">
        <f>I13='Summary by Site - Land Variant'!C14</f>
        <v>#REF!</v>
      </c>
    </row>
    <row r="14" spans="1:10" ht="14.5" thickBot="1" x14ac:dyDescent="0.35">
      <c r="B14" s="5"/>
    </row>
    <row r="15" spans="1:10" s="5" customFormat="1" ht="14.5" thickBot="1" x14ac:dyDescent="0.35">
      <c r="B15" s="190" t="s">
        <v>15</v>
      </c>
      <c r="C15" s="192" t="e">
        <f t="shared" ref="C15:H15" si="1">SUM(C5:C13)</f>
        <v>#REF!</v>
      </c>
      <c r="D15" s="192" t="e">
        <f t="shared" si="1"/>
        <v>#REF!</v>
      </c>
      <c r="E15" s="192" t="e">
        <f t="shared" si="1"/>
        <v>#REF!</v>
      </c>
      <c r="F15" s="192" t="e">
        <f t="shared" si="1"/>
        <v>#REF!</v>
      </c>
      <c r="G15" s="192" t="e">
        <f t="shared" si="1"/>
        <v>#REF!</v>
      </c>
      <c r="H15" s="192" t="e">
        <f t="shared" si="1"/>
        <v>#REF!</v>
      </c>
      <c r="I15" s="121"/>
      <c r="J15" s="241"/>
    </row>
    <row r="18" spans="1:10" x14ac:dyDescent="0.3">
      <c r="B18" s="5" t="s">
        <v>172</v>
      </c>
    </row>
    <row r="19" spans="1:10" ht="14.5" thickBot="1" x14ac:dyDescent="0.35"/>
    <row r="20" spans="1:10" ht="42.5" thickBot="1" x14ac:dyDescent="0.35">
      <c r="C20" s="193" t="s">
        <v>203</v>
      </c>
      <c r="D20" s="193" t="s">
        <v>204</v>
      </c>
      <c r="E20" s="193" t="s">
        <v>205</v>
      </c>
      <c r="F20" s="193" t="s">
        <v>206</v>
      </c>
      <c r="G20" s="193" t="s">
        <v>207</v>
      </c>
      <c r="H20" s="240" t="s">
        <v>208</v>
      </c>
    </row>
    <row r="21" spans="1:10" ht="14.5" thickBot="1" x14ac:dyDescent="0.35">
      <c r="A21" s="58">
        <v>53</v>
      </c>
      <c r="B21" s="190" t="s">
        <v>6</v>
      </c>
      <c r="C21" s="264" t="e">
        <f>#REF!</f>
        <v>#REF!</v>
      </c>
      <c r="D21" s="264" t="e">
        <f>#REF!</f>
        <v>#REF!</v>
      </c>
      <c r="E21" s="264" t="e">
        <f>#REF!</f>
        <v>#REF!</v>
      </c>
      <c r="F21" s="264" t="e">
        <f>#REF!</f>
        <v>#REF!</v>
      </c>
      <c r="G21" s="264" t="e">
        <f>#REF!</f>
        <v>#REF!</v>
      </c>
      <c r="H21" s="264" t="e">
        <f>#REF!</f>
        <v>#REF!</v>
      </c>
      <c r="I21" s="121" t="e">
        <f>SUM(C21:H21)</f>
        <v>#REF!</v>
      </c>
      <c r="J21" s="241" t="e">
        <f>I21='Summary by Site - Land Variant'!D6</f>
        <v>#REF!</v>
      </c>
    </row>
    <row r="22" spans="1:10" ht="14.5" thickBot="1" x14ac:dyDescent="0.35">
      <c r="A22" s="58">
        <v>35</v>
      </c>
      <c r="B22" s="190" t="s">
        <v>7</v>
      </c>
      <c r="C22" s="266" t="e">
        <f>#REF!</f>
        <v>#REF!</v>
      </c>
      <c r="D22" s="266" t="e">
        <f>#REF!+('Summary by Site - Land Variant'!D7-#REF!)</f>
        <v>#REF!</v>
      </c>
      <c r="E22" s="266" t="e">
        <f>#REF!</f>
        <v>#REF!</v>
      </c>
      <c r="F22" s="266" t="e">
        <f>#REF!</f>
        <v>#REF!</v>
      </c>
      <c r="G22" s="266" t="e">
        <f>#REF!</f>
        <v>#REF!</v>
      </c>
      <c r="H22" s="266" t="e">
        <f>#REF!</f>
        <v>#REF!</v>
      </c>
      <c r="I22" s="121" t="e">
        <f t="shared" ref="I22:I29" si="2">SUM(C22:H22)</f>
        <v>#REF!</v>
      </c>
      <c r="J22" s="241" t="e">
        <f>I22='Summary by Site - Land Variant'!D7</f>
        <v>#REF!</v>
      </c>
    </row>
    <row r="23" spans="1:10" ht="14.5" thickBot="1" x14ac:dyDescent="0.35">
      <c r="A23" s="58">
        <v>15</v>
      </c>
      <c r="B23" s="190" t="s">
        <v>8</v>
      </c>
      <c r="C23" s="191" t="e">
        <f>#REF!</f>
        <v>#REF!</v>
      </c>
      <c r="D23" s="191" t="e">
        <f>#REF!</f>
        <v>#REF!</v>
      </c>
      <c r="E23" s="191" t="e">
        <f>#REF!</f>
        <v>#REF!</v>
      </c>
      <c r="F23" s="191" t="e">
        <f>#REF!</f>
        <v>#REF!</v>
      </c>
      <c r="G23" s="191" t="e">
        <f>#REF!</f>
        <v>#REF!</v>
      </c>
      <c r="H23" s="191" t="e">
        <f>#REF!</f>
        <v>#REF!</v>
      </c>
      <c r="I23" s="121" t="e">
        <f t="shared" si="2"/>
        <v>#REF!</v>
      </c>
      <c r="J23" s="241" t="e">
        <f>I23='Summary by Site - Land Variant'!D8</f>
        <v>#REF!</v>
      </c>
    </row>
    <row r="24" spans="1:10" ht="14.5" thickBot="1" x14ac:dyDescent="0.35">
      <c r="A24" s="58">
        <v>8</v>
      </c>
      <c r="B24" s="190" t="s">
        <v>9</v>
      </c>
      <c r="C24" s="191" t="e">
        <f>#REF!</f>
        <v>#REF!</v>
      </c>
      <c r="D24" s="191" t="e">
        <f>#REF!</f>
        <v>#REF!</v>
      </c>
      <c r="E24" s="191" t="e">
        <f>#REF!</f>
        <v>#REF!</v>
      </c>
      <c r="F24" s="191" t="e">
        <f>#REF!</f>
        <v>#REF!</v>
      </c>
      <c r="G24" s="191" t="e">
        <f>#REF!</f>
        <v>#REF!</v>
      </c>
      <c r="H24" s="191" t="e">
        <f>#REF!</f>
        <v>#REF!</v>
      </c>
      <c r="I24" s="121" t="e">
        <f t="shared" si="2"/>
        <v>#REF!</v>
      </c>
      <c r="J24" s="241" t="e">
        <f>I24='Summary by Site - Land Variant'!D9</f>
        <v>#REF!</v>
      </c>
    </row>
    <row r="25" spans="1:10" ht="14.5" thickBot="1" x14ac:dyDescent="0.35">
      <c r="A25" s="58">
        <v>16</v>
      </c>
      <c r="B25" s="190" t="s">
        <v>10</v>
      </c>
      <c r="C25" s="191" t="e">
        <f>#REF!</f>
        <v>#REF!</v>
      </c>
      <c r="D25" s="191" t="e">
        <f>#REF!</f>
        <v>#REF!</v>
      </c>
      <c r="E25" s="191" t="e">
        <f>#REF!</f>
        <v>#REF!</v>
      </c>
      <c r="F25" s="191" t="e">
        <f>#REF!</f>
        <v>#REF!</v>
      </c>
      <c r="G25" s="191" t="e">
        <f>#REF!</f>
        <v>#REF!</v>
      </c>
      <c r="H25" s="191" t="e">
        <f>#REF!</f>
        <v>#REF!</v>
      </c>
      <c r="I25" s="121" t="e">
        <f t="shared" si="2"/>
        <v>#REF!</v>
      </c>
      <c r="J25" s="241" t="e">
        <f>I25='Summary by Site - Land Variant'!D10</f>
        <v>#REF!</v>
      </c>
    </row>
    <row r="26" spans="1:10" ht="14.5" thickBot="1" x14ac:dyDescent="0.35">
      <c r="A26" s="58">
        <v>51</v>
      </c>
      <c r="B26" s="190" t="s">
        <v>11</v>
      </c>
      <c r="C26" s="191" t="e">
        <f>#REF!</f>
        <v>#REF!</v>
      </c>
      <c r="D26" s="191" t="e">
        <f>#REF!</f>
        <v>#REF!</v>
      </c>
      <c r="E26" s="191" t="e">
        <f>#REF!</f>
        <v>#REF!</v>
      </c>
      <c r="F26" s="191" t="e">
        <f>#REF!</f>
        <v>#REF!</v>
      </c>
      <c r="G26" s="191" t="e">
        <f>#REF!</f>
        <v>#REF!</v>
      </c>
      <c r="H26" s="191" t="e">
        <f>#REF!</f>
        <v>#REF!</v>
      </c>
      <c r="I26" s="121" t="e">
        <f t="shared" si="2"/>
        <v>#REF!</v>
      </c>
      <c r="J26" s="241" t="e">
        <f>I26='Summary by Site - Land Variant'!D11</f>
        <v>#REF!</v>
      </c>
    </row>
    <row r="27" spans="1:10" ht="14.5" thickBot="1" x14ac:dyDescent="0.35">
      <c r="A27" s="58">
        <v>22</v>
      </c>
      <c r="B27" s="190" t="s">
        <v>12</v>
      </c>
      <c r="C27" s="191" t="e">
        <f>#REF!</f>
        <v>#REF!</v>
      </c>
      <c r="D27" s="191" t="e">
        <f>#REF!</f>
        <v>#REF!</v>
      </c>
      <c r="E27" s="191" t="e">
        <f>#REF!</f>
        <v>#REF!</v>
      </c>
      <c r="F27" s="191" t="e">
        <f>#REF!</f>
        <v>#REF!</v>
      </c>
      <c r="G27" s="191" t="e">
        <f>#REF!</f>
        <v>#REF!</v>
      </c>
      <c r="H27" s="191" t="e">
        <f>#REF!</f>
        <v>#REF!</v>
      </c>
      <c r="I27" s="121" t="e">
        <f t="shared" si="2"/>
        <v>#REF!</v>
      </c>
      <c r="J27" s="241" t="e">
        <f>I27='Summary by Site - Land Variant'!D12</f>
        <v>#REF!</v>
      </c>
    </row>
    <row r="28" spans="1:10" ht="14.5" thickBot="1" x14ac:dyDescent="0.35">
      <c r="A28" s="58">
        <v>25</v>
      </c>
      <c r="B28" s="190" t="s">
        <v>13</v>
      </c>
      <c r="C28" s="191" t="e">
        <f>#REF!</f>
        <v>#REF!</v>
      </c>
      <c r="D28" s="191" t="e">
        <f>#REF!</f>
        <v>#REF!</v>
      </c>
      <c r="E28" s="191" t="e">
        <f>#REF!</f>
        <v>#REF!</v>
      </c>
      <c r="F28" s="191" t="e">
        <f>#REF!</f>
        <v>#REF!</v>
      </c>
      <c r="G28" s="191" t="e">
        <f>#REF!</f>
        <v>#REF!</v>
      </c>
      <c r="H28" s="191" t="e">
        <f>#REF!</f>
        <v>#REF!</v>
      </c>
      <c r="I28" s="121" t="e">
        <f t="shared" si="2"/>
        <v>#REF!</v>
      </c>
      <c r="J28" s="241" t="e">
        <f>I28='Summary by Site - Land Variant'!D13</f>
        <v>#REF!</v>
      </c>
    </row>
    <row r="29" spans="1:10" ht="14.5" thickBot="1" x14ac:dyDescent="0.35">
      <c r="A29" s="58">
        <v>9</v>
      </c>
      <c r="B29" s="190" t="s">
        <v>14</v>
      </c>
      <c r="C29" s="191" t="e">
        <f>#REF!</f>
        <v>#REF!</v>
      </c>
      <c r="D29" s="191" t="e">
        <f>#REF!</f>
        <v>#REF!</v>
      </c>
      <c r="E29" s="191" t="e">
        <f>#REF!</f>
        <v>#REF!</v>
      </c>
      <c r="F29" s="191" t="e">
        <f>#REF!</f>
        <v>#REF!</v>
      </c>
      <c r="G29" s="191" t="e">
        <f>#REF!</f>
        <v>#REF!</v>
      </c>
      <c r="H29" s="191" t="e">
        <f>#REF!</f>
        <v>#REF!</v>
      </c>
      <c r="I29" s="121" t="e">
        <f t="shared" si="2"/>
        <v>#REF!</v>
      </c>
      <c r="J29" s="241" t="e">
        <f>I29='Summary by Site - Land Variant'!D14</f>
        <v>#REF!</v>
      </c>
    </row>
    <row r="30" spans="1:10" ht="14.5" thickBot="1" x14ac:dyDescent="0.35">
      <c r="B30" s="5"/>
      <c r="J30" s="241"/>
    </row>
    <row r="31" spans="1:10" ht="14.5" thickBot="1" x14ac:dyDescent="0.35">
      <c r="B31" s="190" t="s">
        <v>15</v>
      </c>
      <c r="C31" s="192" t="e">
        <f t="shared" ref="C31:H31" si="3">SUM(C21:C29)</f>
        <v>#REF!</v>
      </c>
      <c r="D31" s="192" t="e">
        <f t="shared" si="3"/>
        <v>#REF!</v>
      </c>
      <c r="E31" s="192" t="e">
        <f t="shared" si="3"/>
        <v>#REF!</v>
      </c>
      <c r="F31" s="192" t="e">
        <f t="shared" si="3"/>
        <v>#REF!</v>
      </c>
      <c r="G31" s="192" t="e">
        <f t="shared" si="3"/>
        <v>#REF!</v>
      </c>
      <c r="H31" s="192" t="e">
        <f t="shared" si="3"/>
        <v>#REF!</v>
      </c>
      <c r="I31" s="121"/>
      <c r="J31" s="241"/>
    </row>
    <row r="34" spans="1:10" x14ac:dyDescent="0.3">
      <c r="B34" s="5" t="s">
        <v>173</v>
      </c>
    </row>
    <row r="35" spans="1:10" ht="14.5" thickBot="1" x14ac:dyDescent="0.35"/>
    <row r="36" spans="1:10" ht="42.5" thickBot="1" x14ac:dyDescent="0.35">
      <c r="C36" s="193" t="s">
        <v>203</v>
      </c>
      <c r="D36" s="193" t="s">
        <v>204</v>
      </c>
      <c r="E36" s="193" t="s">
        <v>205</v>
      </c>
      <c r="F36" s="193" t="s">
        <v>206</v>
      </c>
      <c r="G36" s="193" t="s">
        <v>207</v>
      </c>
      <c r="H36" s="240" t="s">
        <v>208</v>
      </c>
    </row>
    <row r="37" spans="1:10" ht="14.5" thickBot="1" x14ac:dyDescent="0.35">
      <c r="A37" s="58">
        <v>53</v>
      </c>
      <c r="B37" s="190" t="s">
        <v>6</v>
      </c>
      <c r="C37" s="264" t="e">
        <f>#REF!</f>
        <v>#REF!</v>
      </c>
      <c r="D37" s="264" t="e">
        <f>#REF!</f>
        <v>#REF!</v>
      </c>
      <c r="E37" s="264" t="e">
        <f>#REF!</f>
        <v>#REF!</v>
      </c>
      <c r="F37" s="264" t="e">
        <f>#REF!</f>
        <v>#REF!</v>
      </c>
      <c r="G37" s="264" t="e">
        <f>#REF!</f>
        <v>#REF!</v>
      </c>
      <c r="H37" s="264" t="e">
        <f>#REF!</f>
        <v>#REF!</v>
      </c>
      <c r="I37" s="121" t="e">
        <f>SUM(C37:H37)</f>
        <v>#REF!</v>
      </c>
      <c r="J37" s="241" t="e">
        <f>I37='Summary by Site - Land Variant'!E6</f>
        <v>#REF!</v>
      </c>
    </row>
    <row r="38" spans="1:10" ht="14.5" thickBot="1" x14ac:dyDescent="0.35">
      <c r="A38" s="58">
        <v>35</v>
      </c>
      <c r="B38" s="190" t="s">
        <v>7</v>
      </c>
      <c r="C38" s="266" t="e">
        <f>#REF!+('Summary by Site - Land Variant'!E7-#REF!)</f>
        <v>#REF!</v>
      </c>
      <c r="D38" s="266" t="e">
        <f>#REF!</f>
        <v>#REF!</v>
      </c>
      <c r="E38" s="266" t="e">
        <f>#REF!</f>
        <v>#REF!</v>
      </c>
      <c r="F38" s="266" t="e">
        <f>#REF!</f>
        <v>#REF!</v>
      </c>
      <c r="G38" s="266" t="e">
        <f>#REF!</f>
        <v>#REF!</v>
      </c>
      <c r="H38" s="266" t="e">
        <f>#REF!</f>
        <v>#REF!</v>
      </c>
      <c r="I38" s="121" t="e">
        <f t="shared" ref="I38:I45" si="4">SUM(C38:H38)</f>
        <v>#REF!</v>
      </c>
      <c r="J38" s="241" t="e">
        <f>I38='Summary by Site - Land Variant'!E7</f>
        <v>#REF!</v>
      </c>
    </row>
    <row r="39" spans="1:10" ht="14.5" thickBot="1" x14ac:dyDescent="0.35">
      <c r="A39" s="58">
        <v>15</v>
      </c>
      <c r="B39" s="190" t="s">
        <v>8</v>
      </c>
      <c r="C39" s="191" t="e">
        <f>#REF!</f>
        <v>#REF!</v>
      </c>
      <c r="D39" s="191" t="e">
        <f>#REF!</f>
        <v>#REF!</v>
      </c>
      <c r="E39" s="191" t="e">
        <f>#REF!</f>
        <v>#REF!</v>
      </c>
      <c r="F39" s="191" t="e">
        <f>#REF!</f>
        <v>#REF!</v>
      </c>
      <c r="G39" s="191" t="e">
        <f>#REF!</f>
        <v>#REF!</v>
      </c>
      <c r="H39" s="191" t="e">
        <f>#REF!</f>
        <v>#REF!</v>
      </c>
      <c r="I39" s="121" t="e">
        <f t="shared" si="4"/>
        <v>#REF!</v>
      </c>
      <c r="J39" s="241" t="e">
        <f>I39='Summary by Site - Land Variant'!E8</f>
        <v>#REF!</v>
      </c>
    </row>
    <row r="40" spans="1:10" ht="14.5" thickBot="1" x14ac:dyDescent="0.35">
      <c r="A40" s="58">
        <v>8</v>
      </c>
      <c r="B40" s="190" t="s">
        <v>9</v>
      </c>
      <c r="C40" s="191" t="e">
        <f>#REF!</f>
        <v>#REF!</v>
      </c>
      <c r="D40" s="191" t="e">
        <f>#REF!</f>
        <v>#REF!</v>
      </c>
      <c r="E40" s="191" t="e">
        <f>#REF!</f>
        <v>#REF!</v>
      </c>
      <c r="F40" s="191" t="e">
        <f>#REF!</f>
        <v>#REF!</v>
      </c>
      <c r="G40" s="191" t="e">
        <f>#REF!</f>
        <v>#REF!</v>
      </c>
      <c r="H40" s="191" t="e">
        <f>#REF!</f>
        <v>#REF!</v>
      </c>
      <c r="I40" s="121" t="e">
        <f t="shared" si="4"/>
        <v>#REF!</v>
      </c>
      <c r="J40" s="241" t="e">
        <f>I40='Summary by Site - Land Variant'!E9</f>
        <v>#REF!</v>
      </c>
    </row>
    <row r="41" spans="1:10" ht="14.5" thickBot="1" x14ac:dyDescent="0.35">
      <c r="A41" s="58">
        <v>16</v>
      </c>
      <c r="B41" s="190" t="s">
        <v>10</v>
      </c>
      <c r="C41" s="191" t="e">
        <f>#REF!</f>
        <v>#REF!</v>
      </c>
      <c r="D41" s="191" t="e">
        <f>#REF!</f>
        <v>#REF!</v>
      </c>
      <c r="E41" s="191" t="e">
        <f>#REF!</f>
        <v>#REF!</v>
      </c>
      <c r="F41" s="191" t="e">
        <f>#REF!</f>
        <v>#REF!</v>
      </c>
      <c r="G41" s="191" t="e">
        <f>#REF!</f>
        <v>#REF!</v>
      </c>
      <c r="H41" s="191" t="e">
        <f>#REF!</f>
        <v>#REF!</v>
      </c>
      <c r="I41" s="121" t="e">
        <f t="shared" si="4"/>
        <v>#REF!</v>
      </c>
      <c r="J41" s="241" t="e">
        <f>I41='Summary by Site - Land Variant'!E10</f>
        <v>#REF!</v>
      </c>
    </row>
    <row r="42" spans="1:10" ht="14.5" thickBot="1" x14ac:dyDescent="0.35">
      <c r="A42" s="58">
        <v>51</v>
      </c>
      <c r="B42" s="190" t="s">
        <v>11</v>
      </c>
      <c r="C42" s="266" t="e">
        <f>#REF!+('Summary by Site - Land Variant'!E11-#REF!)</f>
        <v>#REF!</v>
      </c>
      <c r="D42" s="266" t="e">
        <f>#REF!</f>
        <v>#REF!</v>
      </c>
      <c r="E42" s="266" t="e">
        <f>#REF!</f>
        <v>#REF!</v>
      </c>
      <c r="F42" s="266" t="e">
        <f>#REF!</f>
        <v>#REF!</v>
      </c>
      <c r="G42" s="266" t="e">
        <f>#REF!</f>
        <v>#REF!</v>
      </c>
      <c r="H42" s="266" t="e">
        <f>#REF!</f>
        <v>#REF!</v>
      </c>
      <c r="I42" s="121" t="e">
        <f t="shared" si="4"/>
        <v>#REF!</v>
      </c>
      <c r="J42" s="241" t="e">
        <f>I42='Summary by Site - Land Variant'!E11</f>
        <v>#REF!</v>
      </c>
    </row>
    <row r="43" spans="1:10" ht="14.5" thickBot="1" x14ac:dyDescent="0.35">
      <c r="A43" s="58">
        <v>22</v>
      </c>
      <c r="B43" s="190" t="s">
        <v>12</v>
      </c>
      <c r="C43" s="191" t="e">
        <f>#REF!</f>
        <v>#REF!</v>
      </c>
      <c r="D43" s="191" t="e">
        <f>#REF!</f>
        <v>#REF!</v>
      </c>
      <c r="E43" s="191" t="e">
        <f>#REF!</f>
        <v>#REF!</v>
      </c>
      <c r="F43" s="191" t="e">
        <f>#REF!</f>
        <v>#REF!</v>
      </c>
      <c r="G43" s="191" t="e">
        <f>#REF!</f>
        <v>#REF!</v>
      </c>
      <c r="H43" s="191" t="e">
        <f>#REF!</f>
        <v>#REF!</v>
      </c>
      <c r="I43" s="121" t="e">
        <f t="shared" si="4"/>
        <v>#REF!</v>
      </c>
      <c r="J43" s="241" t="e">
        <f>I43='Summary by Site - Land Variant'!E12</f>
        <v>#REF!</v>
      </c>
    </row>
    <row r="44" spans="1:10" ht="14.5" thickBot="1" x14ac:dyDescent="0.35">
      <c r="A44" s="58">
        <v>25</v>
      </c>
      <c r="B44" s="190" t="s">
        <v>13</v>
      </c>
      <c r="C44" s="191" t="e">
        <f>#REF!</f>
        <v>#REF!</v>
      </c>
      <c r="D44" s="191" t="e">
        <f>#REF!</f>
        <v>#REF!</v>
      </c>
      <c r="E44" s="191" t="e">
        <f>#REF!</f>
        <v>#REF!</v>
      </c>
      <c r="F44" s="191" t="e">
        <f>#REF!</f>
        <v>#REF!</v>
      </c>
      <c r="G44" s="191" t="e">
        <f>#REF!</f>
        <v>#REF!</v>
      </c>
      <c r="H44" s="191" t="e">
        <f>#REF!</f>
        <v>#REF!</v>
      </c>
      <c r="I44" s="121" t="e">
        <f t="shared" si="4"/>
        <v>#REF!</v>
      </c>
      <c r="J44" s="241" t="e">
        <f>I44='Summary by Site - Land Variant'!E13</f>
        <v>#REF!</v>
      </c>
    </row>
    <row r="45" spans="1:10" ht="14.5" thickBot="1" x14ac:dyDescent="0.35">
      <c r="A45" s="58">
        <v>9</v>
      </c>
      <c r="B45" s="190" t="s">
        <v>14</v>
      </c>
      <c r="C45" s="191" t="e">
        <f>#REF!</f>
        <v>#REF!</v>
      </c>
      <c r="D45" s="191" t="e">
        <f>#REF!</f>
        <v>#REF!</v>
      </c>
      <c r="E45" s="191" t="e">
        <f>#REF!</f>
        <v>#REF!</v>
      </c>
      <c r="F45" s="191" t="e">
        <f>#REF!</f>
        <v>#REF!</v>
      </c>
      <c r="G45" s="191" t="e">
        <f>#REF!</f>
        <v>#REF!</v>
      </c>
      <c r="H45" s="191" t="e">
        <f>#REF!</f>
        <v>#REF!</v>
      </c>
      <c r="I45" s="121" t="e">
        <f t="shared" si="4"/>
        <v>#REF!</v>
      </c>
      <c r="J45" s="241" t="e">
        <f>I45='Summary by Site - Land Variant'!E14</f>
        <v>#REF!</v>
      </c>
    </row>
    <row r="46" spans="1:10" ht="14.5" thickBot="1" x14ac:dyDescent="0.35">
      <c r="B46" s="5"/>
    </row>
    <row r="47" spans="1:10" ht="14.5" thickBot="1" x14ac:dyDescent="0.35">
      <c r="B47" s="190" t="s">
        <v>15</v>
      </c>
      <c r="C47" s="192" t="e">
        <f t="shared" ref="C47:H47" si="5">SUM(C37:C45)</f>
        <v>#REF!</v>
      </c>
      <c r="D47" s="192" t="e">
        <f t="shared" si="5"/>
        <v>#REF!</v>
      </c>
      <c r="E47" s="192" t="e">
        <f t="shared" si="5"/>
        <v>#REF!</v>
      </c>
      <c r="F47" s="192" t="e">
        <f t="shared" si="5"/>
        <v>#REF!</v>
      </c>
      <c r="G47" s="192" t="e">
        <f t="shared" si="5"/>
        <v>#REF!</v>
      </c>
      <c r="H47" s="192" t="e">
        <f t="shared" si="5"/>
        <v>#REF!</v>
      </c>
      <c r="I47" s="5"/>
    </row>
    <row r="51" spans="1:10" x14ac:dyDescent="0.3">
      <c r="B51" s="5" t="s">
        <v>209</v>
      </c>
    </row>
    <row r="52" spans="1:10" ht="14.5" thickBot="1" x14ac:dyDescent="0.35"/>
    <row r="53" spans="1:10" ht="42.5" thickBot="1" x14ac:dyDescent="0.35">
      <c r="C53" s="193" t="s">
        <v>203</v>
      </c>
      <c r="D53" s="193" t="s">
        <v>204</v>
      </c>
      <c r="E53" s="193" t="s">
        <v>205</v>
      </c>
      <c r="F53" s="193" t="s">
        <v>206</v>
      </c>
      <c r="G53" s="193" t="s">
        <v>207</v>
      </c>
      <c r="H53" s="240" t="s">
        <v>208</v>
      </c>
    </row>
    <row r="54" spans="1:10" ht="14.5" thickBot="1" x14ac:dyDescent="0.35">
      <c r="A54" s="58">
        <v>53</v>
      </c>
      <c r="B54" s="190" t="s">
        <v>6</v>
      </c>
      <c r="C54" s="264" t="e">
        <f>#REF!</f>
        <v>#REF!</v>
      </c>
      <c r="D54" s="264" t="e">
        <f>#REF!</f>
        <v>#REF!</v>
      </c>
      <c r="E54" s="264" t="e">
        <f>#REF!</f>
        <v>#REF!</v>
      </c>
      <c r="F54" s="264" t="e">
        <f>#REF!</f>
        <v>#REF!</v>
      </c>
      <c r="G54" s="264" t="e">
        <f>#REF!</f>
        <v>#REF!</v>
      </c>
      <c r="H54" s="264" t="e">
        <f>#REF!</f>
        <v>#REF!</v>
      </c>
      <c r="I54" s="121" t="e">
        <f>SUM(C54:H54)</f>
        <v>#REF!</v>
      </c>
      <c r="J54" s="241" t="e">
        <f>I54='Summary by Site - Land Variant'!G6</f>
        <v>#REF!</v>
      </c>
    </row>
    <row r="55" spans="1:10" ht="14.5" thickBot="1" x14ac:dyDescent="0.35">
      <c r="A55" s="58">
        <v>35</v>
      </c>
      <c r="B55" s="190" t="s">
        <v>7</v>
      </c>
      <c r="C55" s="266" t="e">
        <f>#REF!+('Summary by Site - Land Variant'!G7-#REF!)</f>
        <v>#REF!</v>
      </c>
      <c r="D55" s="266" t="e">
        <f>#REF!</f>
        <v>#REF!</v>
      </c>
      <c r="E55" s="266" t="e">
        <f>#REF!</f>
        <v>#REF!</v>
      </c>
      <c r="F55" s="266" t="e">
        <f>#REF!</f>
        <v>#REF!</v>
      </c>
      <c r="G55" s="266" t="e">
        <f>#REF!</f>
        <v>#REF!</v>
      </c>
      <c r="H55" s="266" t="e">
        <f>#REF!</f>
        <v>#REF!</v>
      </c>
      <c r="I55" s="121" t="e">
        <f t="shared" ref="I55:I62" si="6">SUM(C55:H55)</f>
        <v>#REF!</v>
      </c>
      <c r="J55" s="241" t="e">
        <f>I55='Summary by Site - Land Variant'!G7</f>
        <v>#REF!</v>
      </c>
    </row>
    <row r="56" spans="1:10" ht="14.5" thickBot="1" x14ac:dyDescent="0.35">
      <c r="A56" s="58">
        <v>15</v>
      </c>
      <c r="B56" s="190" t="s">
        <v>8</v>
      </c>
      <c r="C56" s="191" t="e">
        <f>#REF!</f>
        <v>#REF!</v>
      </c>
      <c r="D56" s="191" t="e">
        <f>#REF!</f>
        <v>#REF!</v>
      </c>
      <c r="E56" s="191" t="e">
        <f>#REF!</f>
        <v>#REF!</v>
      </c>
      <c r="F56" s="191" t="e">
        <f>#REF!</f>
        <v>#REF!</v>
      </c>
      <c r="G56" s="191" t="e">
        <f>#REF!</f>
        <v>#REF!</v>
      </c>
      <c r="H56" s="191" t="e">
        <f>#REF!</f>
        <v>#REF!</v>
      </c>
      <c r="I56" s="121" t="e">
        <f t="shared" si="6"/>
        <v>#REF!</v>
      </c>
      <c r="J56" s="241" t="e">
        <f>I56='Summary by Site - Land Variant'!G8</f>
        <v>#REF!</v>
      </c>
    </row>
    <row r="57" spans="1:10" ht="14.5" thickBot="1" x14ac:dyDescent="0.35">
      <c r="A57" s="58">
        <v>8</v>
      </c>
      <c r="B57" s="190" t="s">
        <v>9</v>
      </c>
      <c r="C57" s="191" t="e">
        <f>#REF!</f>
        <v>#REF!</v>
      </c>
      <c r="D57" s="191" t="e">
        <f>#REF!</f>
        <v>#REF!</v>
      </c>
      <c r="E57" s="191" t="e">
        <f>#REF!</f>
        <v>#REF!</v>
      </c>
      <c r="F57" s="191" t="e">
        <f>#REF!</f>
        <v>#REF!</v>
      </c>
      <c r="G57" s="191" t="e">
        <f>#REF!</f>
        <v>#REF!</v>
      </c>
      <c r="H57" s="191" t="e">
        <f>#REF!</f>
        <v>#REF!</v>
      </c>
      <c r="I57" s="121" t="e">
        <f t="shared" si="6"/>
        <v>#REF!</v>
      </c>
      <c r="J57" s="241" t="e">
        <f>I57='Summary by Site - Land Variant'!G9</f>
        <v>#REF!</v>
      </c>
    </row>
    <row r="58" spans="1:10" ht="14.5" thickBot="1" x14ac:dyDescent="0.35">
      <c r="A58" s="58">
        <v>16</v>
      </c>
      <c r="B58" s="190" t="s">
        <v>10</v>
      </c>
      <c r="C58" s="191" t="e">
        <f>#REF!</f>
        <v>#REF!</v>
      </c>
      <c r="D58" s="191" t="e">
        <f>#REF!</f>
        <v>#REF!</v>
      </c>
      <c r="E58" s="191" t="e">
        <f>#REF!</f>
        <v>#REF!</v>
      </c>
      <c r="F58" s="191" t="e">
        <f>#REF!</f>
        <v>#REF!</v>
      </c>
      <c r="G58" s="191" t="e">
        <f>#REF!</f>
        <v>#REF!</v>
      </c>
      <c r="H58" s="191" t="e">
        <f>#REF!</f>
        <v>#REF!</v>
      </c>
      <c r="I58" s="121" t="e">
        <f t="shared" si="6"/>
        <v>#REF!</v>
      </c>
      <c r="J58" s="241" t="e">
        <f>I58='Summary by Site - Land Variant'!G10</f>
        <v>#REF!</v>
      </c>
    </row>
    <row r="59" spans="1:10" ht="14.5" thickBot="1" x14ac:dyDescent="0.35">
      <c r="A59" s="58">
        <v>51</v>
      </c>
      <c r="B59" s="190" t="s">
        <v>11</v>
      </c>
      <c r="C59" s="264" t="e">
        <f>#REF!</f>
        <v>#REF!</v>
      </c>
      <c r="D59" s="264" t="e">
        <f>#REF!</f>
        <v>#REF!</v>
      </c>
      <c r="E59" s="264" t="e">
        <f>#REF!</f>
        <v>#REF!</v>
      </c>
      <c r="F59" s="264" t="e">
        <f>#REF!</f>
        <v>#REF!</v>
      </c>
      <c r="G59" s="264" t="e">
        <f>#REF!</f>
        <v>#REF!</v>
      </c>
      <c r="H59" s="264" t="e">
        <f>#REF!</f>
        <v>#REF!</v>
      </c>
      <c r="I59" s="121" t="e">
        <f t="shared" si="6"/>
        <v>#REF!</v>
      </c>
      <c r="J59" s="241" t="e">
        <f>I59='Summary by Site - Land Variant'!G11</f>
        <v>#REF!</v>
      </c>
    </row>
    <row r="60" spans="1:10" ht="14.5" thickBot="1" x14ac:dyDescent="0.35">
      <c r="A60" s="58">
        <v>22</v>
      </c>
      <c r="B60" s="190" t="s">
        <v>12</v>
      </c>
      <c r="C60" s="191" t="e">
        <f>#REF!</f>
        <v>#REF!</v>
      </c>
      <c r="D60" s="191" t="e">
        <f>#REF!</f>
        <v>#REF!</v>
      </c>
      <c r="E60" s="191" t="e">
        <f>#REF!</f>
        <v>#REF!</v>
      </c>
      <c r="F60" s="191" t="e">
        <f>#REF!</f>
        <v>#REF!</v>
      </c>
      <c r="G60" s="191" t="e">
        <f>#REF!</f>
        <v>#REF!</v>
      </c>
      <c r="H60" s="191" t="e">
        <f>#REF!</f>
        <v>#REF!</v>
      </c>
      <c r="I60" s="121" t="e">
        <f t="shared" si="6"/>
        <v>#REF!</v>
      </c>
      <c r="J60" s="241" t="e">
        <f>I60='Summary by Site - Land Variant'!G12</f>
        <v>#REF!</v>
      </c>
    </row>
    <row r="61" spans="1:10" ht="14.5" thickBot="1" x14ac:dyDescent="0.35">
      <c r="A61" s="58">
        <v>25</v>
      </c>
      <c r="B61" s="190" t="s">
        <v>13</v>
      </c>
      <c r="C61" s="191" t="e">
        <f>#REF!</f>
        <v>#REF!</v>
      </c>
      <c r="D61" s="191" t="e">
        <f>#REF!</f>
        <v>#REF!</v>
      </c>
      <c r="E61" s="191" t="e">
        <f>#REF!</f>
        <v>#REF!</v>
      </c>
      <c r="F61" s="191" t="e">
        <f>#REF!</f>
        <v>#REF!</v>
      </c>
      <c r="G61" s="191" t="e">
        <f>#REF!</f>
        <v>#REF!</v>
      </c>
      <c r="H61" s="191" t="e">
        <f>#REF!</f>
        <v>#REF!</v>
      </c>
      <c r="I61" s="121" t="e">
        <f t="shared" si="6"/>
        <v>#REF!</v>
      </c>
      <c r="J61" s="241" t="e">
        <f>I61='Summary by Site - Land Variant'!G13</f>
        <v>#REF!</v>
      </c>
    </row>
    <row r="62" spans="1:10" ht="14.5" thickBot="1" x14ac:dyDescent="0.35">
      <c r="A62" s="58">
        <v>9</v>
      </c>
      <c r="B62" s="190" t="s">
        <v>14</v>
      </c>
      <c r="C62" s="191" t="e">
        <f>#REF!</f>
        <v>#REF!</v>
      </c>
      <c r="D62" s="191" t="e">
        <f>#REF!</f>
        <v>#REF!</v>
      </c>
      <c r="E62" s="191" t="e">
        <f>#REF!</f>
        <v>#REF!</v>
      </c>
      <c r="F62" s="191" t="e">
        <f>#REF!</f>
        <v>#REF!</v>
      </c>
      <c r="G62" s="191" t="e">
        <f>#REF!</f>
        <v>#REF!</v>
      </c>
      <c r="H62" s="191" t="e">
        <f>#REF!</f>
        <v>#REF!</v>
      </c>
      <c r="I62" s="121" t="e">
        <f t="shared" si="6"/>
        <v>#REF!</v>
      </c>
      <c r="J62" s="241" t="e">
        <f>I62='Summary by Site - Land Variant'!G14</f>
        <v>#REF!</v>
      </c>
    </row>
    <row r="63" spans="1:10" ht="14.5" thickBot="1" x14ac:dyDescent="0.35">
      <c r="B63" s="5"/>
    </row>
    <row r="64" spans="1:10" ht="14.5" thickBot="1" x14ac:dyDescent="0.35">
      <c r="B64" s="190" t="s">
        <v>15</v>
      </c>
      <c r="C64" s="192" t="e">
        <f t="shared" ref="C64:H64" si="7">SUM(C54:C62)</f>
        <v>#REF!</v>
      </c>
      <c r="D64" s="192" t="e">
        <f t="shared" si="7"/>
        <v>#REF!</v>
      </c>
      <c r="E64" s="192" t="e">
        <f t="shared" si="7"/>
        <v>#REF!</v>
      </c>
      <c r="F64" s="192" t="e">
        <f t="shared" si="7"/>
        <v>#REF!</v>
      </c>
      <c r="G64" s="192" t="e">
        <f t="shared" si="7"/>
        <v>#REF!</v>
      </c>
      <c r="H64" s="192" t="e">
        <f t="shared" si="7"/>
        <v>#REF!</v>
      </c>
      <c r="I64" s="5"/>
    </row>
    <row r="67" spans="1:10" x14ac:dyDescent="0.3">
      <c r="B67" s="5" t="s">
        <v>176</v>
      </c>
    </row>
    <row r="68" spans="1:10" ht="14.5" thickBot="1" x14ac:dyDescent="0.35"/>
    <row r="69" spans="1:10" ht="42.5" thickBot="1" x14ac:dyDescent="0.35">
      <c r="C69" s="193" t="s">
        <v>203</v>
      </c>
      <c r="D69" s="193" t="s">
        <v>204</v>
      </c>
      <c r="E69" s="193" t="s">
        <v>205</v>
      </c>
      <c r="F69" s="193" t="s">
        <v>206</v>
      </c>
      <c r="G69" s="193" t="s">
        <v>207</v>
      </c>
      <c r="H69" s="240" t="s">
        <v>208</v>
      </c>
    </row>
    <row r="70" spans="1:10" ht="14.5" thickBot="1" x14ac:dyDescent="0.35">
      <c r="A70" s="58">
        <v>53</v>
      </c>
      <c r="B70" s="190" t="s">
        <v>6</v>
      </c>
      <c r="C70" s="264" t="e">
        <f>#REF!</f>
        <v>#REF!</v>
      </c>
      <c r="D70" s="264" t="e">
        <f>#REF!</f>
        <v>#REF!</v>
      </c>
      <c r="E70" s="264" t="e">
        <f>#REF!</f>
        <v>#REF!</v>
      </c>
      <c r="F70" s="264" t="e">
        <f>#REF!</f>
        <v>#REF!</v>
      </c>
      <c r="G70" s="264" t="e">
        <f>#REF!</f>
        <v>#REF!</v>
      </c>
      <c r="H70" s="264" t="e">
        <f>#REF!</f>
        <v>#REF!</v>
      </c>
      <c r="I70" s="121" t="e">
        <f>SUM(C70:H70)</f>
        <v>#REF!</v>
      </c>
      <c r="J70" s="241" t="e">
        <f>I70='Summary by Site - Land Variant'!H6</f>
        <v>#REF!</v>
      </c>
    </row>
    <row r="71" spans="1:10" ht="14.5" thickBot="1" x14ac:dyDescent="0.35">
      <c r="A71" s="58">
        <v>35</v>
      </c>
      <c r="B71" s="190" t="s">
        <v>7</v>
      </c>
      <c r="C71" s="266" t="e">
        <f>#REF!</f>
        <v>#REF!</v>
      </c>
      <c r="D71" s="266" t="e">
        <f>#REF!+'Summary by Site - Land Variant'!H7-#REF!</f>
        <v>#REF!</v>
      </c>
      <c r="E71" s="266" t="e">
        <f>#REF!</f>
        <v>#REF!</v>
      </c>
      <c r="F71" s="266" t="e">
        <f>#REF!</f>
        <v>#REF!</v>
      </c>
      <c r="G71" s="266" t="e">
        <f>#REF!</f>
        <v>#REF!</v>
      </c>
      <c r="H71" s="266" t="e">
        <f>#REF!</f>
        <v>#REF!</v>
      </c>
      <c r="I71" s="121" t="e">
        <f t="shared" ref="I71:I78" si="8">SUM(C71:H71)</f>
        <v>#REF!</v>
      </c>
      <c r="J71" s="241" t="e">
        <f>I71='Summary by Site - Land Variant'!H7</f>
        <v>#REF!</v>
      </c>
    </row>
    <row r="72" spans="1:10" ht="14.5" thickBot="1" x14ac:dyDescent="0.35">
      <c r="A72" s="58">
        <v>15</v>
      </c>
      <c r="B72" s="190" t="s">
        <v>8</v>
      </c>
      <c r="C72" s="191" t="e">
        <f>#REF!</f>
        <v>#REF!</v>
      </c>
      <c r="D72" s="191" t="e">
        <f>#REF!</f>
        <v>#REF!</v>
      </c>
      <c r="E72" s="191" t="e">
        <f>#REF!</f>
        <v>#REF!</v>
      </c>
      <c r="F72" s="191" t="e">
        <f>#REF!</f>
        <v>#REF!</v>
      </c>
      <c r="G72" s="191" t="e">
        <f>#REF!</f>
        <v>#REF!</v>
      </c>
      <c r="H72" s="191" t="e">
        <f>#REF!</f>
        <v>#REF!</v>
      </c>
      <c r="I72" s="121" t="e">
        <f t="shared" si="8"/>
        <v>#REF!</v>
      </c>
      <c r="J72" s="241" t="e">
        <f>I72='Summary by Site - Land Variant'!H8</f>
        <v>#REF!</v>
      </c>
    </row>
    <row r="73" spans="1:10" ht="14.5" thickBot="1" x14ac:dyDescent="0.35">
      <c r="A73" s="58">
        <v>8</v>
      </c>
      <c r="B73" s="190" t="s">
        <v>9</v>
      </c>
      <c r="C73" s="191" t="e">
        <f>#REF!</f>
        <v>#REF!</v>
      </c>
      <c r="D73" s="191" t="e">
        <f>#REF!</f>
        <v>#REF!</v>
      </c>
      <c r="E73" s="191" t="e">
        <f>#REF!</f>
        <v>#REF!</v>
      </c>
      <c r="F73" s="191" t="e">
        <f>#REF!</f>
        <v>#REF!</v>
      </c>
      <c r="G73" s="191" t="e">
        <f>#REF!</f>
        <v>#REF!</v>
      </c>
      <c r="H73" s="191" t="e">
        <f>#REF!</f>
        <v>#REF!</v>
      </c>
      <c r="I73" s="121" t="e">
        <f t="shared" si="8"/>
        <v>#REF!</v>
      </c>
      <c r="J73" s="241" t="e">
        <f>I73='Summary by Site - Land Variant'!H9</f>
        <v>#REF!</v>
      </c>
    </row>
    <row r="74" spans="1:10" ht="14.5" thickBot="1" x14ac:dyDescent="0.35">
      <c r="A74" s="58">
        <v>16</v>
      </c>
      <c r="B74" s="190" t="s">
        <v>10</v>
      </c>
      <c r="C74" s="191" t="e">
        <f>#REF!</f>
        <v>#REF!</v>
      </c>
      <c r="D74" s="191" t="e">
        <f>#REF!</f>
        <v>#REF!</v>
      </c>
      <c r="E74" s="191" t="e">
        <f>#REF!</f>
        <v>#REF!</v>
      </c>
      <c r="F74" s="191" t="e">
        <f>#REF!</f>
        <v>#REF!</v>
      </c>
      <c r="G74" s="191" t="e">
        <f>#REF!</f>
        <v>#REF!</v>
      </c>
      <c r="H74" s="191" t="e">
        <f>#REF!</f>
        <v>#REF!</v>
      </c>
      <c r="I74" s="121" t="e">
        <f t="shared" si="8"/>
        <v>#REF!</v>
      </c>
      <c r="J74" s="241" t="e">
        <f>I74='Summary by Site - Land Variant'!H10</f>
        <v>#REF!</v>
      </c>
    </row>
    <row r="75" spans="1:10" ht="14.5" thickBot="1" x14ac:dyDescent="0.35">
      <c r="A75" s="58">
        <v>51</v>
      </c>
      <c r="B75" s="190" t="s">
        <v>11</v>
      </c>
      <c r="C75" s="191" t="e">
        <f>#REF!</f>
        <v>#REF!</v>
      </c>
      <c r="D75" s="191" t="e">
        <f>#REF!</f>
        <v>#REF!</v>
      </c>
      <c r="E75" s="191" t="e">
        <f>#REF!</f>
        <v>#REF!</v>
      </c>
      <c r="F75" s="191" t="e">
        <f>#REF!</f>
        <v>#REF!</v>
      </c>
      <c r="G75" s="191" t="e">
        <f>#REF!</f>
        <v>#REF!</v>
      </c>
      <c r="H75" s="191" t="e">
        <f>#REF!</f>
        <v>#REF!</v>
      </c>
      <c r="I75" s="121" t="e">
        <f t="shared" si="8"/>
        <v>#REF!</v>
      </c>
      <c r="J75" s="241" t="e">
        <f>I75='Summary by Site - Land Variant'!H11</f>
        <v>#REF!</v>
      </c>
    </row>
    <row r="76" spans="1:10" ht="14.5" thickBot="1" x14ac:dyDescent="0.35">
      <c r="A76" s="58">
        <v>22</v>
      </c>
      <c r="B76" s="190" t="s">
        <v>12</v>
      </c>
      <c r="C76" s="191" t="e">
        <f>#REF!</f>
        <v>#REF!</v>
      </c>
      <c r="D76" s="191" t="e">
        <f>#REF!</f>
        <v>#REF!</v>
      </c>
      <c r="E76" s="191" t="e">
        <f>#REF!</f>
        <v>#REF!</v>
      </c>
      <c r="F76" s="191" t="e">
        <f>#REF!</f>
        <v>#REF!</v>
      </c>
      <c r="G76" s="191" t="e">
        <f>#REF!</f>
        <v>#REF!</v>
      </c>
      <c r="H76" s="191" t="e">
        <f>#REF!</f>
        <v>#REF!</v>
      </c>
      <c r="I76" s="121" t="e">
        <f t="shared" si="8"/>
        <v>#REF!</v>
      </c>
      <c r="J76" s="241" t="e">
        <f>I76='Summary by Site - Land Variant'!H12</f>
        <v>#REF!</v>
      </c>
    </row>
    <row r="77" spans="1:10" ht="14.5" thickBot="1" x14ac:dyDescent="0.35">
      <c r="A77" s="58">
        <v>25</v>
      </c>
      <c r="B77" s="190" t="s">
        <v>13</v>
      </c>
      <c r="C77" s="191" t="e">
        <f>#REF!</f>
        <v>#REF!</v>
      </c>
      <c r="D77" s="191" t="e">
        <f>#REF!</f>
        <v>#REF!</v>
      </c>
      <c r="E77" s="191" t="e">
        <f>#REF!</f>
        <v>#REF!</v>
      </c>
      <c r="F77" s="191" t="e">
        <f>#REF!</f>
        <v>#REF!</v>
      </c>
      <c r="G77" s="191" t="e">
        <f>#REF!</f>
        <v>#REF!</v>
      </c>
      <c r="H77" s="191" t="e">
        <f>#REF!</f>
        <v>#REF!</v>
      </c>
      <c r="I77" s="121" t="e">
        <f t="shared" si="8"/>
        <v>#REF!</v>
      </c>
      <c r="J77" s="241" t="e">
        <f>I77='Summary by Site - Land Variant'!H13</f>
        <v>#REF!</v>
      </c>
    </row>
    <row r="78" spans="1:10" ht="14.5" thickBot="1" x14ac:dyDescent="0.35">
      <c r="A78" s="58">
        <v>9</v>
      </c>
      <c r="B78" s="190" t="s">
        <v>14</v>
      </c>
      <c r="C78" s="191" t="e">
        <f>#REF!</f>
        <v>#REF!</v>
      </c>
      <c r="D78" s="191" t="e">
        <f>#REF!</f>
        <v>#REF!</v>
      </c>
      <c r="E78" s="191" t="e">
        <f>#REF!</f>
        <v>#REF!</v>
      </c>
      <c r="F78" s="191" t="e">
        <f>#REF!</f>
        <v>#REF!</v>
      </c>
      <c r="G78" s="191" t="e">
        <f>#REF!</f>
        <v>#REF!</v>
      </c>
      <c r="H78" s="191" t="e">
        <f>#REF!</f>
        <v>#REF!</v>
      </c>
      <c r="I78" s="121" t="e">
        <f t="shared" si="8"/>
        <v>#REF!</v>
      </c>
      <c r="J78" s="241" t="e">
        <f>I78='Summary by Site - Land Variant'!H14</f>
        <v>#REF!</v>
      </c>
    </row>
    <row r="79" spans="1:10" ht="14.5" thickBot="1" x14ac:dyDescent="0.35">
      <c r="B79" s="5"/>
    </row>
    <row r="80" spans="1:10" ht="14.5" thickBot="1" x14ac:dyDescent="0.35">
      <c r="B80" s="190" t="s">
        <v>15</v>
      </c>
      <c r="C80" s="192" t="e">
        <f t="shared" ref="C80:H80" si="9">SUM(C70:C78)</f>
        <v>#REF!</v>
      </c>
      <c r="D80" s="192" t="e">
        <f t="shared" si="9"/>
        <v>#REF!</v>
      </c>
      <c r="E80" s="192" t="e">
        <f t="shared" si="9"/>
        <v>#REF!</v>
      </c>
      <c r="F80" s="192" t="e">
        <f t="shared" si="9"/>
        <v>#REF!</v>
      </c>
      <c r="G80" s="192" t="e">
        <f t="shared" si="9"/>
        <v>#REF!</v>
      </c>
      <c r="H80" s="192" t="e">
        <f t="shared" si="9"/>
        <v>#REF!</v>
      </c>
      <c r="I80" s="5"/>
    </row>
    <row r="83" spans="1:10" x14ac:dyDescent="0.3">
      <c r="B83" s="5" t="s">
        <v>177</v>
      </c>
    </row>
    <row r="84" spans="1:10" ht="14.5" thickBot="1" x14ac:dyDescent="0.35"/>
    <row r="85" spans="1:10" ht="42.5" thickBot="1" x14ac:dyDescent="0.35">
      <c r="C85" s="193" t="s">
        <v>203</v>
      </c>
      <c r="D85" s="193" t="s">
        <v>204</v>
      </c>
      <c r="E85" s="193" t="s">
        <v>205</v>
      </c>
      <c r="F85" s="193" t="s">
        <v>206</v>
      </c>
      <c r="G85" s="193" t="s">
        <v>207</v>
      </c>
      <c r="H85" s="240" t="s">
        <v>208</v>
      </c>
    </row>
    <row r="86" spans="1:10" ht="14.5" thickBot="1" x14ac:dyDescent="0.35">
      <c r="A86" s="58">
        <v>53</v>
      </c>
      <c r="B86" s="190" t="s">
        <v>6</v>
      </c>
      <c r="C86" s="264" t="e">
        <f>#REF!</f>
        <v>#REF!</v>
      </c>
      <c r="D86" s="264" t="e">
        <f>#REF!</f>
        <v>#REF!</v>
      </c>
      <c r="E86" s="264" t="e">
        <f>#REF!</f>
        <v>#REF!</v>
      </c>
      <c r="F86" s="264" t="e">
        <f>#REF!</f>
        <v>#REF!</v>
      </c>
      <c r="G86" s="264" t="e">
        <f>#REF!</f>
        <v>#REF!</v>
      </c>
      <c r="H86" s="264" t="e">
        <f>#REF!</f>
        <v>#REF!</v>
      </c>
      <c r="I86" s="121" t="e">
        <f>SUM(C86:H86)</f>
        <v>#REF!</v>
      </c>
      <c r="J86" s="241" t="e">
        <f>I86='Summary by Site - Land Variant'!I6</f>
        <v>#REF!</v>
      </c>
    </row>
    <row r="87" spans="1:10" ht="14.5" thickBot="1" x14ac:dyDescent="0.35">
      <c r="A87" s="58">
        <v>35</v>
      </c>
      <c r="B87" s="190" t="s">
        <v>7</v>
      </c>
      <c r="C87" s="266" t="e">
        <f>#REF!</f>
        <v>#REF!</v>
      </c>
      <c r="D87" s="266" t="e">
        <f>#REF!+('Summary by Site - Land Variant'!I7-#REF!)</f>
        <v>#REF!</v>
      </c>
      <c r="E87" s="266" t="e">
        <f>#REF!</f>
        <v>#REF!</v>
      </c>
      <c r="F87" s="266" t="e">
        <f>#REF!</f>
        <v>#REF!</v>
      </c>
      <c r="G87" s="266" t="e">
        <f>#REF!</f>
        <v>#REF!</v>
      </c>
      <c r="H87" s="266" t="e">
        <f>#REF!</f>
        <v>#REF!</v>
      </c>
      <c r="I87" s="121" t="e">
        <f t="shared" ref="I87:I94" si="10">SUM(C87:H87)</f>
        <v>#REF!</v>
      </c>
      <c r="J87" s="241" t="e">
        <f>I87='Summary by Site - Land Variant'!I7</f>
        <v>#REF!</v>
      </c>
    </row>
    <row r="88" spans="1:10" ht="14.5" thickBot="1" x14ac:dyDescent="0.35">
      <c r="A88" s="58">
        <v>15</v>
      </c>
      <c r="B88" s="190" t="s">
        <v>8</v>
      </c>
      <c r="C88" s="191" t="e">
        <f>#REF!</f>
        <v>#REF!</v>
      </c>
      <c r="D88" s="191" t="e">
        <f>#REF!</f>
        <v>#REF!</v>
      </c>
      <c r="E88" s="191" t="e">
        <f>#REF!</f>
        <v>#REF!</v>
      </c>
      <c r="F88" s="191" t="e">
        <f>#REF!</f>
        <v>#REF!</v>
      </c>
      <c r="G88" s="191" t="e">
        <f>#REF!</f>
        <v>#REF!</v>
      </c>
      <c r="H88" s="191" t="e">
        <f>#REF!</f>
        <v>#REF!</v>
      </c>
      <c r="I88" s="121" t="e">
        <f t="shared" si="10"/>
        <v>#REF!</v>
      </c>
      <c r="J88" s="241" t="e">
        <f>I88='Summary by Site - Land Variant'!I8</f>
        <v>#REF!</v>
      </c>
    </row>
    <row r="89" spans="1:10" ht="14.5" thickBot="1" x14ac:dyDescent="0.35">
      <c r="A89" s="58">
        <v>8</v>
      </c>
      <c r="B89" s="190" t="s">
        <v>9</v>
      </c>
      <c r="C89" s="191" t="e">
        <f>#REF!</f>
        <v>#REF!</v>
      </c>
      <c r="D89" s="191" t="e">
        <f>#REF!</f>
        <v>#REF!</v>
      </c>
      <c r="E89" s="191" t="e">
        <f>#REF!</f>
        <v>#REF!</v>
      </c>
      <c r="F89" s="191" t="e">
        <f>#REF!</f>
        <v>#REF!</v>
      </c>
      <c r="G89" s="191" t="e">
        <f>#REF!</f>
        <v>#REF!</v>
      </c>
      <c r="H89" s="191" t="e">
        <f>#REF!</f>
        <v>#REF!</v>
      </c>
      <c r="I89" s="121" t="e">
        <f t="shared" si="10"/>
        <v>#REF!</v>
      </c>
      <c r="J89" s="241" t="e">
        <f>I89='Summary by Site - Land Variant'!I9</f>
        <v>#REF!</v>
      </c>
    </row>
    <row r="90" spans="1:10" ht="14.5" thickBot="1" x14ac:dyDescent="0.35">
      <c r="A90" s="58">
        <v>16</v>
      </c>
      <c r="B90" s="190" t="s">
        <v>10</v>
      </c>
      <c r="C90" s="191" t="e">
        <f>#REF!</f>
        <v>#REF!</v>
      </c>
      <c r="D90" s="191" t="e">
        <f>#REF!</f>
        <v>#REF!</v>
      </c>
      <c r="E90" s="191" t="e">
        <f>#REF!</f>
        <v>#REF!</v>
      </c>
      <c r="F90" s="191" t="e">
        <f>#REF!</f>
        <v>#REF!</v>
      </c>
      <c r="G90" s="191" t="e">
        <f>#REF!</f>
        <v>#REF!</v>
      </c>
      <c r="H90" s="191" t="e">
        <f>#REF!</f>
        <v>#REF!</v>
      </c>
      <c r="I90" s="121" t="e">
        <f t="shared" si="10"/>
        <v>#REF!</v>
      </c>
      <c r="J90" s="241" t="e">
        <f>I90='Summary by Site - Land Variant'!I10</f>
        <v>#REF!</v>
      </c>
    </row>
    <row r="91" spans="1:10" ht="14.5" thickBot="1" x14ac:dyDescent="0.35">
      <c r="A91" s="58">
        <v>51</v>
      </c>
      <c r="B91" s="190" t="s">
        <v>11</v>
      </c>
      <c r="C91" s="191" t="e">
        <f>#REF!</f>
        <v>#REF!</v>
      </c>
      <c r="D91" s="191" t="e">
        <f>#REF!</f>
        <v>#REF!</v>
      </c>
      <c r="E91" s="191" t="e">
        <f>#REF!</f>
        <v>#REF!</v>
      </c>
      <c r="F91" s="191" t="e">
        <f>#REF!</f>
        <v>#REF!</v>
      </c>
      <c r="G91" s="191" t="e">
        <f>#REF!</f>
        <v>#REF!</v>
      </c>
      <c r="H91" s="191" t="e">
        <f>#REF!</f>
        <v>#REF!</v>
      </c>
      <c r="I91" s="121" t="e">
        <f t="shared" si="10"/>
        <v>#REF!</v>
      </c>
      <c r="J91" s="241" t="e">
        <f>I91='Summary by Site - Land Variant'!I11</f>
        <v>#REF!</v>
      </c>
    </row>
    <row r="92" spans="1:10" ht="14.5" thickBot="1" x14ac:dyDescent="0.35">
      <c r="A92" s="58">
        <v>22</v>
      </c>
      <c r="B92" s="190" t="s">
        <v>12</v>
      </c>
      <c r="C92" s="191" t="e">
        <f>#REF!</f>
        <v>#REF!</v>
      </c>
      <c r="D92" s="191" t="e">
        <f>#REF!</f>
        <v>#REF!</v>
      </c>
      <c r="E92" s="191" t="e">
        <f>#REF!</f>
        <v>#REF!</v>
      </c>
      <c r="F92" s="191" t="e">
        <f>#REF!</f>
        <v>#REF!</v>
      </c>
      <c r="G92" s="191" t="e">
        <f>#REF!</f>
        <v>#REF!</v>
      </c>
      <c r="H92" s="191" t="e">
        <f>#REF!</f>
        <v>#REF!</v>
      </c>
      <c r="I92" s="121" t="e">
        <f t="shared" si="10"/>
        <v>#REF!</v>
      </c>
      <c r="J92" s="241" t="e">
        <f>I92='Summary by Site - Land Variant'!I12</f>
        <v>#REF!</v>
      </c>
    </row>
    <row r="93" spans="1:10" ht="14.5" thickBot="1" x14ac:dyDescent="0.35">
      <c r="A93" s="58">
        <v>25</v>
      </c>
      <c r="B93" s="190" t="s">
        <v>13</v>
      </c>
      <c r="C93" s="191" t="e">
        <f>#REF!</f>
        <v>#REF!</v>
      </c>
      <c r="D93" s="191" t="e">
        <f>#REF!</f>
        <v>#REF!</v>
      </c>
      <c r="E93" s="191" t="e">
        <f>#REF!</f>
        <v>#REF!</v>
      </c>
      <c r="F93" s="191" t="e">
        <f>#REF!</f>
        <v>#REF!</v>
      </c>
      <c r="G93" s="191" t="e">
        <f>#REF!</f>
        <v>#REF!</v>
      </c>
      <c r="H93" s="191" t="e">
        <f>#REF!</f>
        <v>#REF!</v>
      </c>
      <c r="I93" s="121" t="e">
        <f t="shared" si="10"/>
        <v>#REF!</v>
      </c>
      <c r="J93" s="241" t="e">
        <f>I93='Summary by Site - Land Variant'!I13</f>
        <v>#REF!</v>
      </c>
    </row>
    <row r="94" spans="1:10" ht="14.5" thickBot="1" x14ac:dyDescent="0.35">
      <c r="A94" s="58">
        <v>9</v>
      </c>
      <c r="B94" s="190" t="s">
        <v>14</v>
      </c>
      <c r="C94" s="191" t="e">
        <f>#REF!</f>
        <v>#REF!</v>
      </c>
      <c r="D94" s="191" t="e">
        <f>#REF!</f>
        <v>#REF!</v>
      </c>
      <c r="E94" s="191" t="e">
        <f>#REF!</f>
        <v>#REF!</v>
      </c>
      <c r="F94" s="191" t="e">
        <f>#REF!</f>
        <v>#REF!</v>
      </c>
      <c r="G94" s="191" t="e">
        <f>#REF!</f>
        <v>#REF!</v>
      </c>
      <c r="H94" s="191" t="e">
        <f>#REF!</f>
        <v>#REF!</v>
      </c>
      <c r="I94" s="121" t="e">
        <f t="shared" si="10"/>
        <v>#REF!</v>
      </c>
      <c r="J94" s="241" t="e">
        <f>I94='Summary by Site - Land Variant'!I14</f>
        <v>#REF!</v>
      </c>
    </row>
    <row r="95" spans="1:10" ht="14.5" thickBot="1" x14ac:dyDescent="0.35">
      <c r="B95" s="5"/>
    </row>
    <row r="96" spans="1:10" ht="14.5" thickBot="1" x14ac:dyDescent="0.35">
      <c r="B96" s="190" t="s">
        <v>15</v>
      </c>
      <c r="C96" s="192" t="e">
        <f t="shared" ref="C96:H96" si="11">SUM(C86:C94)</f>
        <v>#REF!</v>
      </c>
      <c r="D96" s="192" t="e">
        <f t="shared" si="11"/>
        <v>#REF!</v>
      </c>
      <c r="E96" s="192" t="e">
        <f t="shared" si="11"/>
        <v>#REF!</v>
      </c>
      <c r="F96" s="192" t="e">
        <f t="shared" si="11"/>
        <v>#REF!</v>
      </c>
      <c r="G96" s="192" t="e">
        <f t="shared" si="11"/>
        <v>#REF!</v>
      </c>
      <c r="H96" s="192" t="e">
        <f t="shared" si="11"/>
        <v>#REF!</v>
      </c>
      <c r="I96" s="5"/>
    </row>
    <row r="100" spans="1:10" x14ac:dyDescent="0.3">
      <c r="B100" s="5" t="s">
        <v>178</v>
      </c>
    </row>
    <row r="101" spans="1:10" ht="14.5" thickBot="1" x14ac:dyDescent="0.35"/>
    <row r="102" spans="1:10" ht="42.5" thickBot="1" x14ac:dyDescent="0.35">
      <c r="C102" s="193" t="s">
        <v>203</v>
      </c>
      <c r="D102" s="193" t="s">
        <v>204</v>
      </c>
      <c r="E102" s="193" t="s">
        <v>205</v>
      </c>
      <c r="F102" s="193" t="s">
        <v>206</v>
      </c>
      <c r="G102" s="193" t="s">
        <v>207</v>
      </c>
      <c r="H102" s="240" t="s">
        <v>208</v>
      </c>
    </row>
    <row r="103" spans="1:10" ht="14.5" thickBot="1" x14ac:dyDescent="0.35">
      <c r="A103" s="58">
        <v>53</v>
      </c>
      <c r="B103" s="190" t="s">
        <v>6</v>
      </c>
      <c r="C103" s="264" t="e">
        <f>#REF!</f>
        <v>#REF!</v>
      </c>
      <c r="D103" s="264" t="e">
        <f>#REF!</f>
        <v>#REF!</v>
      </c>
      <c r="E103" s="264" t="e">
        <f>#REF!</f>
        <v>#REF!</v>
      </c>
      <c r="F103" s="264" t="e">
        <f>#REF!</f>
        <v>#REF!</v>
      </c>
      <c r="G103" s="264" t="e">
        <f>#REF!</f>
        <v>#REF!</v>
      </c>
      <c r="H103" s="264" t="e">
        <f>#REF!</f>
        <v>#REF!</v>
      </c>
      <c r="I103" s="121" t="e">
        <f>SUM(C103:H103)</f>
        <v>#REF!</v>
      </c>
      <c r="J103" s="241" t="e">
        <f>I103='Summary by Site - Land Variant'!J6</f>
        <v>#REF!</v>
      </c>
    </row>
    <row r="104" spans="1:10" ht="14.5" thickBot="1" x14ac:dyDescent="0.35">
      <c r="A104" s="58">
        <v>35</v>
      </c>
      <c r="B104" s="190" t="s">
        <v>7</v>
      </c>
      <c r="C104" s="266" t="e">
        <f>#REF!</f>
        <v>#REF!</v>
      </c>
      <c r="D104" s="266" t="e">
        <f>#REF!+('Summary by Site - Land Variant'!J7-#REF!)</f>
        <v>#REF!</v>
      </c>
      <c r="E104" s="266" t="e">
        <f>#REF!</f>
        <v>#REF!</v>
      </c>
      <c r="F104" s="266" t="e">
        <f>#REF!</f>
        <v>#REF!</v>
      </c>
      <c r="G104" s="266" t="e">
        <f>#REF!</f>
        <v>#REF!</v>
      </c>
      <c r="H104" s="266" t="e">
        <f>#REF!</f>
        <v>#REF!</v>
      </c>
      <c r="I104" s="121" t="e">
        <f t="shared" ref="I104:I111" si="12">SUM(C104:H104)</f>
        <v>#REF!</v>
      </c>
      <c r="J104" s="241" t="e">
        <f>I104='Summary by Site - Land Variant'!J7</f>
        <v>#REF!</v>
      </c>
    </row>
    <row r="105" spans="1:10" ht="14.5" thickBot="1" x14ac:dyDescent="0.35">
      <c r="A105" s="58">
        <v>15</v>
      </c>
      <c r="B105" s="190" t="s">
        <v>8</v>
      </c>
      <c r="C105" s="191" t="e">
        <f>#REF!</f>
        <v>#REF!</v>
      </c>
      <c r="D105" s="191" t="e">
        <f>#REF!</f>
        <v>#REF!</v>
      </c>
      <c r="E105" s="191" t="e">
        <f>#REF!</f>
        <v>#REF!</v>
      </c>
      <c r="F105" s="191" t="e">
        <f>#REF!</f>
        <v>#REF!</v>
      </c>
      <c r="G105" s="191" t="e">
        <f>#REF!</f>
        <v>#REF!</v>
      </c>
      <c r="H105" s="191" t="e">
        <f>#REF!</f>
        <v>#REF!</v>
      </c>
      <c r="I105" s="121" t="e">
        <f t="shared" si="12"/>
        <v>#REF!</v>
      </c>
      <c r="J105" s="241" t="e">
        <f>I105='Summary by Site - Land Variant'!J8</f>
        <v>#REF!</v>
      </c>
    </row>
    <row r="106" spans="1:10" ht="14.5" thickBot="1" x14ac:dyDescent="0.35">
      <c r="A106" s="58">
        <v>8</v>
      </c>
      <c r="B106" s="190" t="s">
        <v>9</v>
      </c>
      <c r="C106" s="191" t="e">
        <f>#REF!</f>
        <v>#REF!</v>
      </c>
      <c r="D106" s="191" t="e">
        <f>#REF!</f>
        <v>#REF!</v>
      </c>
      <c r="E106" s="191" t="e">
        <f>#REF!</f>
        <v>#REF!</v>
      </c>
      <c r="F106" s="191" t="e">
        <f>#REF!</f>
        <v>#REF!</v>
      </c>
      <c r="G106" s="191" t="e">
        <f>#REF!</f>
        <v>#REF!</v>
      </c>
      <c r="H106" s="191" t="e">
        <f>#REF!</f>
        <v>#REF!</v>
      </c>
      <c r="I106" s="121" t="e">
        <f t="shared" si="12"/>
        <v>#REF!</v>
      </c>
      <c r="J106" s="241" t="e">
        <f>I106='Summary by Site - Land Variant'!J9</f>
        <v>#REF!</v>
      </c>
    </row>
    <row r="107" spans="1:10" ht="14.5" thickBot="1" x14ac:dyDescent="0.35">
      <c r="A107" s="58">
        <v>16</v>
      </c>
      <c r="B107" s="190" t="s">
        <v>10</v>
      </c>
      <c r="C107" s="191" t="e">
        <f>#REF!</f>
        <v>#REF!</v>
      </c>
      <c r="D107" s="191" t="e">
        <f>#REF!</f>
        <v>#REF!</v>
      </c>
      <c r="E107" s="191" t="e">
        <f>#REF!</f>
        <v>#REF!</v>
      </c>
      <c r="F107" s="191" t="e">
        <f>#REF!</f>
        <v>#REF!</v>
      </c>
      <c r="G107" s="191" t="e">
        <f>#REF!</f>
        <v>#REF!</v>
      </c>
      <c r="H107" s="191" t="e">
        <f>#REF!</f>
        <v>#REF!</v>
      </c>
      <c r="I107" s="121" t="e">
        <f t="shared" si="12"/>
        <v>#REF!</v>
      </c>
      <c r="J107" s="241" t="e">
        <f>I107='Summary by Site - Land Variant'!J10</f>
        <v>#REF!</v>
      </c>
    </row>
    <row r="108" spans="1:10" ht="14.5" thickBot="1" x14ac:dyDescent="0.35">
      <c r="A108" s="58">
        <v>51</v>
      </c>
      <c r="B108" s="190" t="s">
        <v>11</v>
      </c>
      <c r="C108" s="191" t="e">
        <f>#REF!</f>
        <v>#REF!</v>
      </c>
      <c r="D108" s="191" t="e">
        <f>#REF!</f>
        <v>#REF!</v>
      </c>
      <c r="E108" s="191" t="e">
        <f>#REF!</f>
        <v>#REF!</v>
      </c>
      <c r="F108" s="191" t="e">
        <f>#REF!</f>
        <v>#REF!</v>
      </c>
      <c r="G108" s="191" t="e">
        <f>#REF!</f>
        <v>#REF!</v>
      </c>
      <c r="H108" s="191" t="e">
        <f>#REF!</f>
        <v>#REF!</v>
      </c>
      <c r="I108" s="121" t="e">
        <f t="shared" si="12"/>
        <v>#REF!</v>
      </c>
      <c r="J108" s="241" t="e">
        <f>I108='Summary by Site - Land Variant'!J11</f>
        <v>#REF!</v>
      </c>
    </row>
    <row r="109" spans="1:10" ht="14.5" thickBot="1" x14ac:dyDescent="0.35">
      <c r="A109" s="58">
        <v>22</v>
      </c>
      <c r="B109" s="190" t="s">
        <v>12</v>
      </c>
      <c r="C109" s="191" t="e">
        <f>#REF!</f>
        <v>#REF!</v>
      </c>
      <c r="D109" s="191" t="e">
        <f>#REF!</f>
        <v>#REF!</v>
      </c>
      <c r="E109" s="191" t="e">
        <f>#REF!</f>
        <v>#REF!</v>
      </c>
      <c r="F109" s="191" t="e">
        <f>#REF!</f>
        <v>#REF!</v>
      </c>
      <c r="G109" s="191" t="e">
        <f>#REF!</f>
        <v>#REF!</v>
      </c>
      <c r="H109" s="191" t="e">
        <f>#REF!</f>
        <v>#REF!</v>
      </c>
      <c r="I109" s="121" t="e">
        <f t="shared" si="12"/>
        <v>#REF!</v>
      </c>
      <c r="J109" s="241" t="e">
        <f>I109='Summary by Site - Land Variant'!J12</f>
        <v>#REF!</v>
      </c>
    </row>
    <row r="110" spans="1:10" ht="14.5" thickBot="1" x14ac:dyDescent="0.35">
      <c r="A110" s="58">
        <v>25</v>
      </c>
      <c r="B110" s="190" t="s">
        <v>13</v>
      </c>
      <c r="C110" s="191" t="e">
        <f>#REF!</f>
        <v>#REF!</v>
      </c>
      <c r="D110" s="191" t="e">
        <f>#REF!</f>
        <v>#REF!</v>
      </c>
      <c r="E110" s="191" t="e">
        <f>#REF!</f>
        <v>#REF!</v>
      </c>
      <c r="F110" s="191" t="e">
        <f>#REF!</f>
        <v>#REF!</v>
      </c>
      <c r="G110" s="191" t="e">
        <f>#REF!</f>
        <v>#REF!</v>
      </c>
      <c r="H110" s="191" t="e">
        <f>#REF!</f>
        <v>#REF!</v>
      </c>
      <c r="I110" s="121" t="e">
        <f t="shared" si="12"/>
        <v>#REF!</v>
      </c>
      <c r="J110" s="241" t="e">
        <f>I110='Summary by Site - Land Variant'!J13</f>
        <v>#REF!</v>
      </c>
    </row>
    <row r="111" spans="1:10" ht="14.5" thickBot="1" x14ac:dyDescent="0.35">
      <c r="A111" s="58">
        <v>9</v>
      </c>
      <c r="B111" s="190" t="s">
        <v>14</v>
      </c>
      <c r="C111" s="191" t="e">
        <f>#REF!</f>
        <v>#REF!</v>
      </c>
      <c r="D111" s="191" t="e">
        <f>#REF!</f>
        <v>#REF!</v>
      </c>
      <c r="E111" s="191" t="e">
        <f>#REF!</f>
        <v>#REF!</v>
      </c>
      <c r="F111" s="191" t="e">
        <f>#REF!</f>
        <v>#REF!</v>
      </c>
      <c r="G111" s="191" t="e">
        <f>#REF!</f>
        <v>#REF!</v>
      </c>
      <c r="H111" s="191" t="e">
        <f>#REF!</f>
        <v>#REF!</v>
      </c>
      <c r="I111" s="121" t="e">
        <f t="shared" si="12"/>
        <v>#REF!</v>
      </c>
      <c r="J111" s="241" t="e">
        <f>I111='Summary by Site - Land Variant'!J14</f>
        <v>#REF!</v>
      </c>
    </row>
    <row r="112" spans="1:10" ht="14.5" thickBot="1" x14ac:dyDescent="0.35">
      <c r="B112" s="5"/>
    </row>
    <row r="113" spans="2:9" ht="14.5" thickBot="1" x14ac:dyDescent="0.35">
      <c r="B113" s="190" t="s">
        <v>15</v>
      </c>
      <c r="C113" s="192" t="e">
        <f t="shared" ref="C113:H113" si="13">SUM(C103:C111)</f>
        <v>#REF!</v>
      </c>
      <c r="D113" s="192" t="e">
        <f t="shared" si="13"/>
        <v>#REF!</v>
      </c>
      <c r="E113" s="192" t="e">
        <f t="shared" si="13"/>
        <v>#REF!</v>
      </c>
      <c r="F113" s="192" t="e">
        <f t="shared" si="13"/>
        <v>#REF!</v>
      </c>
      <c r="G113" s="192" t="e">
        <f t="shared" si="13"/>
        <v>#REF!</v>
      </c>
      <c r="H113" s="192" t="e">
        <f t="shared" si="13"/>
        <v>#REF!</v>
      </c>
      <c r="I113" s="5"/>
    </row>
  </sheetData>
  <conditionalFormatting sqref="C4">
    <cfRule type="containsText" dxfId="619" priority="106367" operator="containsText" text="10-15 years">
      <formula>NOT(ISERROR(SEARCH("10-15 years",#REF!)))</formula>
    </cfRule>
    <cfRule type="containsText" dxfId="618" priority="106365" operator="containsText" text="unknown">
      <formula>NOT(ISERROR(SEARCH("unknown",#REF!)))</formula>
    </cfRule>
    <cfRule type="containsText" dxfId="617" priority="106364" operator="containsText" text="20+">
      <formula>NOT(ISERROR(SEARCH("20+",#REF!)))</formula>
    </cfRule>
    <cfRule type="containsText" dxfId="616" priority="106370" operator="containsText" text="0-5 years">
      <formula>NOT(ISERROR(SEARCH("0-5 years",#REF!)))</formula>
    </cfRule>
    <cfRule type="containsText" dxfId="615" priority="106366" operator="containsText" text="15-20 years">
      <formula>NOT(ISERROR(SEARCH("15-20 years",#REF!)))</formula>
    </cfRule>
    <cfRule type="containsText" dxfId="614" priority="106369" operator="containsText" text="0-20 years">
      <formula>NOT(ISERROR(SEARCH("0-20 years",#REF!)))</formula>
    </cfRule>
    <cfRule type="containsText" dxfId="613" priority="106368" operator="containsText" text="5-10 years">
      <formula>NOT(ISERROR(SEARCH("5-10 years",#REF!)))</formula>
    </cfRule>
  </conditionalFormatting>
  <conditionalFormatting sqref="C20:F20 H20">
    <cfRule type="containsText" dxfId="612" priority="15" operator="containsText" text="20+">
      <formula>NOT(ISERROR(SEARCH("20+",#REF!)))</formula>
    </cfRule>
    <cfRule type="containsText" dxfId="611" priority="16" operator="containsText" text="unknown">
      <formula>NOT(ISERROR(SEARCH("unknown",#REF!)))</formula>
    </cfRule>
    <cfRule type="containsText" dxfId="610" priority="17" operator="containsText" text="15-20 years">
      <formula>NOT(ISERROR(SEARCH("15-20 years",#REF!)))</formula>
    </cfRule>
    <cfRule type="containsText" dxfId="609" priority="18" operator="containsText" text="10-15 years">
      <formula>NOT(ISERROR(SEARCH("10-15 years",#REF!)))</formula>
    </cfRule>
    <cfRule type="containsText" dxfId="608" priority="19" operator="containsText" text="5-10 years">
      <formula>NOT(ISERROR(SEARCH("5-10 years",#REF!)))</formula>
    </cfRule>
    <cfRule type="containsText" dxfId="607" priority="20" operator="containsText" text="0-20 years">
      <formula>NOT(ISERROR(SEARCH("0-20 years",#REF!)))</formula>
    </cfRule>
    <cfRule type="containsText" dxfId="606" priority="21" operator="containsText" text="0-5 years">
      <formula>NOT(ISERROR(SEARCH("0-5 years",#REF!)))</formula>
    </cfRule>
  </conditionalFormatting>
  <conditionalFormatting sqref="C36:F36 H36">
    <cfRule type="containsText" dxfId="605" priority="50" operator="containsText" text="20+">
      <formula>NOT(ISERROR(SEARCH("20+",#REF!)))</formula>
    </cfRule>
    <cfRule type="containsText" dxfId="604" priority="51" operator="containsText" text="unknown">
      <formula>NOT(ISERROR(SEARCH("unknown",#REF!)))</formula>
    </cfRule>
    <cfRule type="containsText" dxfId="603" priority="52" operator="containsText" text="15-20 years">
      <formula>NOT(ISERROR(SEARCH("15-20 years",#REF!)))</formula>
    </cfRule>
    <cfRule type="containsText" dxfId="602" priority="53" operator="containsText" text="10-15 years">
      <formula>NOT(ISERROR(SEARCH("10-15 years",#REF!)))</formula>
    </cfRule>
    <cfRule type="containsText" dxfId="601" priority="54" operator="containsText" text="5-10 years">
      <formula>NOT(ISERROR(SEARCH("5-10 years",#REF!)))</formula>
    </cfRule>
    <cfRule type="containsText" dxfId="600" priority="55" operator="containsText" text="0-20 years">
      <formula>NOT(ISERROR(SEARCH("0-20 years",#REF!)))</formula>
    </cfRule>
    <cfRule type="containsText" dxfId="599" priority="56" operator="containsText" text="0-5 years">
      <formula>NOT(ISERROR(SEARCH("0-5 years",#REF!)))</formula>
    </cfRule>
  </conditionalFormatting>
  <conditionalFormatting sqref="C53:F53 H53">
    <cfRule type="containsText" dxfId="598" priority="107193" operator="containsText" text="10-15 years">
      <formula>NOT(ISERROR(SEARCH("10-15 years",#REF!)))</formula>
    </cfRule>
    <cfRule type="containsText" dxfId="597" priority="107194" operator="containsText" text="5-10 years">
      <formula>NOT(ISERROR(SEARCH("5-10 years",#REF!)))</formula>
    </cfRule>
    <cfRule type="containsText" dxfId="596" priority="107195" operator="containsText" text="0-20 years">
      <formula>NOT(ISERROR(SEARCH("0-20 years",#REF!)))</formula>
    </cfRule>
    <cfRule type="containsText" dxfId="595" priority="107196" operator="containsText" text="0-5 years">
      <formula>NOT(ISERROR(SEARCH("0-5 years",#REF!)))</formula>
    </cfRule>
    <cfRule type="containsText" dxfId="594" priority="107190" operator="containsText" text="20+">
      <formula>NOT(ISERROR(SEARCH("20+",#REF!)))</formula>
    </cfRule>
    <cfRule type="containsText" dxfId="593" priority="107191" operator="containsText" text="unknown">
      <formula>NOT(ISERROR(SEARCH("unknown",#REF!)))</formula>
    </cfRule>
    <cfRule type="containsText" dxfId="592" priority="107192" operator="containsText" text="15-20 years">
      <formula>NOT(ISERROR(SEARCH("15-20 years",#REF!)))</formula>
    </cfRule>
  </conditionalFormatting>
  <conditionalFormatting sqref="C69:F69 H69">
    <cfRule type="containsText" dxfId="591" priority="106931" operator="containsText" text="20+">
      <formula>NOT(ISERROR(SEARCH("20+",#REF!)))</formula>
    </cfRule>
    <cfRule type="containsText" dxfId="590" priority="106933" operator="containsText" text="15-20 years">
      <formula>NOT(ISERROR(SEARCH("15-20 years",#REF!)))</formula>
    </cfRule>
    <cfRule type="containsText" dxfId="589" priority="106934" operator="containsText" text="10-15 years">
      <formula>NOT(ISERROR(SEARCH("10-15 years",#REF!)))</formula>
    </cfRule>
    <cfRule type="containsText" dxfId="588" priority="106935" operator="containsText" text="5-10 years">
      <formula>NOT(ISERROR(SEARCH("5-10 years",#REF!)))</formula>
    </cfRule>
    <cfRule type="containsText" dxfId="587" priority="106936" operator="containsText" text="0-20 years">
      <formula>NOT(ISERROR(SEARCH("0-20 years",#REF!)))</formula>
    </cfRule>
    <cfRule type="containsText" dxfId="586" priority="106937" operator="containsText" text="0-5 years">
      <formula>NOT(ISERROR(SEARCH("0-5 years",#REF!)))</formula>
    </cfRule>
    <cfRule type="containsText" dxfId="585" priority="106932" operator="containsText" text="unknown">
      <formula>NOT(ISERROR(SEARCH("unknown",#REF!)))</formula>
    </cfRule>
  </conditionalFormatting>
  <conditionalFormatting sqref="C85:F85 H85 C102:F102 H102">
    <cfRule type="containsText" dxfId="584" priority="57" operator="containsText" text="20+">
      <formula>NOT(ISERROR(SEARCH("20+",#REF!)))</formula>
    </cfRule>
    <cfRule type="containsText" dxfId="583" priority="58" operator="containsText" text="unknown">
      <formula>NOT(ISERROR(SEARCH("unknown",#REF!)))</formula>
    </cfRule>
    <cfRule type="containsText" dxfId="582" priority="59" operator="containsText" text="15-20 years">
      <formula>NOT(ISERROR(SEARCH("15-20 years",#REF!)))</formula>
    </cfRule>
    <cfRule type="containsText" dxfId="581" priority="63" operator="containsText" text="0-5 years">
      <formula>NOT(ISERROR(SEARCH("0-5 years",#REF!)))</formula>
    </cfRule>
    <cfRule type="containsText" dxfId="580" priority="62" operator="containsText" text="0-20 years">
      <formula>NOT(ISERROR(SEARCH("0-20 years",#REF!)))</formula>
    </cfRule>
    <cfRule type="containsText" dxfId="579" priority="60" operator="containsText" text="10-15 years">
      <formula>NOT(ISERROR(SEARCH("10-15 years",#REF!)))</formula>
    </cfRule>
    <cfRule type="containsText" dxfId="578" priority="61" operator="containsText" text="5-10 years">
      <formula>NOT(ISERROR(SEARCH("5-10 years",#REF!)))</formula>
    </cfRule>
  </conditionalFormatting>
  <conditionalFormatting sqref="D4:F4 H4">
    <cfRule type="containsText" dxfId="577" priority="64" operator="containsText" text="20+">
      <formula>NOT(ISERROR(SEARCH("20+",#REF!)))</formula>
    </cfRule>
    <cfRule type="containsText" dxfId="576" priority="68" operator="containsText" text="5-10 years">
      <formula>NOT(ISERROR(SEARCH("5-10 years",#REF!)))</formula>
    </cfRule>
    <cfRule type="containsText" dxfId="575" priority="69" operator="containsText" text="0-20 years">
      <formula>NOT(ISERROR(SEARCH("0-20 years",#REF!)))</formula>
    </cfRule>
    <cfRule type="containsText" dxfId="574" priority="70" operator="containsText" text="0-5 years">
      <formula>NOT(ISERROR(SEARCH("0-5 years",#REF!)))</formula>
    </cfRule>
    <cfRule type="containsText" dxfId="573" priority="66" operator="containsText" text="15-20 years">
      <formula>NOT(ISERROR(SEARCH("15-20 years",#REF!)))</formula>
    </cfRule>
    <cfRule type="containsText" dxfId="572" priority="65" operator="containsText" text="unknown">
      <formula>NOT(ISERROR(SEARCH("unknown",#REF!)))</formula>
    </cfRule>
    <cfRule type="containsText" dxfId="571" priority="67" operator="containsText" text="10-15 years">
      <formula>NOT(ISERROR(SEARCH("10-15 years",#REF!)))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79998168889431442"/>
    <pageSetUpPr autoPageBreaks="0" fitToPage="1"/>
  </sheetPr>
  <dimension ref="A1:GI267"/>
  <sheetViews>
    <sheetView showGridLines="0" zoomScale="90" zoomScaleNormal="90" workbookViewId="0">
      <pane xSplit="3" ySplit="1" topLeftCell="AF28" activePane="bottomRight" state="frozen"/>
      <selection pane="topRight" activeCell="U1" sqref="U1:X1048576"/>
      <selection pane="bottomLeft" activeCell="U1" sqref="U1:X1048576"/>
      <selection pane="bottomRight" activeCell="AO33" sqref="AO33"/>
    </sheetView>
  </sheetViews>
  <sheetFormatPr defaultColWidth="8.90625" defaultRowHeight="14.5" outlineLevelCol="1" x14ac:dyDescent="0.35"/>
  <cols>
    <col min="1" max="1" width="8.90625" style="344" customWidth="1"/>
    <col min="2" max="2" width="8.90625" style="347" customWidth="1"/>
    <col min="3" max="3" width="44.453125" style="344" customWidth="1"/>
    <col min="4" max="4" width="11.08984375" style="348" customWidth="1"/>
    <col min="5" max="6" width="22.08984375" style="348" customWidth="1"/>
    <col min="7" max="7" width="17.90625" style="348" bestFit="1" customWidth="1"/>
    <col min="8" max="8" width="33.08984375" style="344" customWidth="1"/>
    <col min="9" max="11" width="16.90625" style="348" customWidth="1"/>
    <col min="12" max="12" width="33.08984375" style="344" customWidth="1"/>
    <col min="13" max="13" width="16.90625" style="348" customWidth="1"/>
    <col min="14" max="14" width="11.08984375" style="348" customWidth="1"/>
    <col min="15" max="20" width="7.90625" style="348" customWidth="1"/>
    <col min="21" max="26" width="7.90625" style="348" hidden="1" customWidth="1" outlineLevel="1"/>
    <col min="27" max="27" width="55.54296875" style="344" customWidth="1" collapsed="1"/>
    <col min="28" max="28" width="22.08984375" style="344" hidden="1" customWidth="1" outlineLevel="1"/>
    <col min="29" max="29" width="33.08984375" style="346" hidden="1" customWidth="1" outlineLevel="1"/>
    <col min="30" max="30" width="12.08984375" style="346" hidden="1" customWidth="1" outlineLevel="1"/>
    <col min="31" max="31" width="33.08984375" style="347" hidden="1" customWidth="1" outlineLevel="1"/>
    <col min="32" max="32" width="11.08984375" style="344" customWidth="1" collapsed="1"/>
    <col min="33" max="33" width="19.90625" style="344" customWidth="1"/>
    <col min="34" max="38" width="16.90625" style="344" customWidth="1"/>
    <col min="39" max="39" width="17.54296875" style="344" customWidth="1"/>
    <col min="40" max="40" width="16.90625" style="346" customWidth="1"/>
    <col min="41" max="61" width="16.90625" style="344" customWidth="1"/>
    <col min="62" max="64" width="15.453125" style="344" customWidth="1"/>
    <col min="65" max="65" width="8.90625" style="289" hidden="1" customWidth="1" outlineLevel="1"/>
    <col min="66" max="113" width="16.90625" style="289" hidden="1" customWidth="1" outlineLevel="1"/>
    <col min="114" max="114" width="8.90625" style="345" collapsed="1"/>
    <col min="115" max="16384" width="8.90625" style="344"/>
  </cols>
  <sheetData>
    <row r="1" spans="1:191" s="348" customFormat="1" ht="84" customHeight="1" x14ac:dyDescent="0.3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298"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1262" t="s">
        <v>199</v>
      </c>
      <c r="BK1" s="1262"/>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91" s="387" customFormat="1" ht="14" x14ac:dyDescent="0.3">
      <c r="A2" s="16" t="s">
        <v>228</v>
      </c>
      <c r="B2" s="135"/>
      <c r="C2" s="52"/>
      <c r="D2" s="52"/>
      <c r="E2" s="52"/>
      <c r="F2" s="127"/>
      <c r="G2" s="44"/>
      <c r="H2" s="123"/>
      <c r="I2" s="44"/>
      <c r="J2" s="44"/>
      <c r="K2" s="44"/>
      <c r="L2" s="123"/>
      <c r="M2" s="295"/>
      <c r="N2" s="52"/>
      <c r="O2" s="52"/>
      <c r="P2" s="52"/>
      <c r="Q2" s="52"/>
      <c r="R2" s="52"/>
      <c r="S2" s="52"/>
      <c r="T2" s="127"/>
      <c r="U2" s="52"/>
      <c r="V2" s="52"/>
      <c r="W2" s="52"/>
      <c r="X2" s="52"/>
      <c r="Y2" s="52"/>
      <c r="Z2" s="127"/>
      <c r="AA2" s="52"/>
      <c r="AB2" s="52"/>
      <c r="AC2" s="52"/>
      <c r="AD2" s="52"/>
      <c r="AE2" s="135"/>
      <c r="AF2" s="52"/>
      <c r="AG2" s="127"/>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63"/>
      <c r="BK2" s="63"/>
      <c r="BL2" s="388"/>
      <c r="BM2" s="356"/>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359"/>
      <c r="DK2" s="388"/>
      <c r="DL2" s="388"/>
      <c r="DM2" s="388"/>
      <c r="DN2" s="388"/>
      <c r="DO2" s="388"/>
      <c r="DP2" s="388"/>
      <c r="DQ2" s="388"/>
      <c r="DR2" s="388"/>
      <c r="DS2" s="388"/>
      <c r="DT2" s="388"/>
      <c r="DU2" s="388"/>
      <c r="DV2" s="388"/>
      <c r="DW2" s="388"/>
      <c r="DX2" s="388"/>
      <c r="DY2" s="388"/>
      <c r="DZ2" s="388"/>
      <c r="EA2" s="388"/>
      <c r="EB2" s="388"/>
      <c r="EC2" s="388"/>
      <c r="ED2" s="388"/>
      <c r="EE2" s="388"/>
      <c r="EF2" s="388"/>
      <c r="EG2" s="388"/>
      <c r="EH2" s="388"/>
      <c r="EI2" s="388"/>
      <c r="EJ2" s="388"/>
      <c r="EK2" s="388"/>
      <c r="EL2" s="388"/>
      <c r="EM2" s="388"/>
      <c r="EN2" s="388"/>
      <c r="EO2" s="388"/>
      <c r="EP2" s="388"/>
      <c r="EQ2" s="388"/>
      <c r="ER2" s="388"/>
      <c r="ES2" s="388"/>
      <c r="ET2" s="388"/>
      <c r="EU2" s="388"/>
      <c r="EV2" s="388"/>
      <c r="EW2" s="388"/>
      <c r="EX2" s="388"/>
      <c r="EY2" s="388"/>
      <c r="EZ2" s="388"/>
      <c r="FA2" s="388"/>
      <c r="FB2" s="388"/>
      <c r="FC2" s="388"/>
      <c r="FD2" s="388"/>
      <c r="FE2" s="388"/>
      <c r="FF2" s="388"/>
      <c r="FG2" s="388"/>
      <c r="FH2" s="388"/>
      <c r="FI2" s="388"/>
      <c r="FJ2" s="388"/>
      <c r="FK2" s="388"/>
      <c r="FL2" s="388"/>
      <c r="FM2" s="388"/>
      <c r="FN2" s="388"/>
      <c r="FO2" s="388"/>
      <c r="FP2" s="388"/>
      <c r="FQ2" s="388"/>
      <c r="FR2" s="388"/>
      <c r="FS2" s="388"/>
      <c r="FT2" s="388"/>
      <c r="FU2" s="388"/>
      <c r="FV2" s="388"/>
      <c r="FW2" s="388"/>
      <c r="FX2" s="388"/>
      <c r="FY2" s="388"/>
      <c r="FZ2" s="388"/>
      <c r="GA2" s="388"/>
      <c r="GB2" s="388"/>
      <c r="GC2" s="388"/>
      <c r="GD2" s="388"/>
      <c r="GE2" s="388"/>
      <c r="GF2" s="388"/>
      <c r="GG2" s="388"/>
      <c r="GH2" s="388"/>
      <c r="GI2" s="388"/>
    </row>
    <row r="3" spans="1:191" ht="196" x14ac:dyDescent="0.3">
      <c r="A3" s="55" t="s">
        <v>229</v>
      </c>
      <c r="B3" s="136" t="s">
        <v>230</v>
      </c>
      <c r="C3" s="11" t="s">
        <v>231</v>
      </c>
      <c r="D3" s="6" t="s">
        <v>232</v>
      </c>
      <c r="E3" s="1" t="s">
        <v>233</v>
      </c>
      <c r="F3" s="94" t="s">
        <v>234</v>
      </c>
      <c r="G3" s="124">
        <v>50000000</v>
      </c>
      <c r="H3" s="126" t="s">
        <v>235</v>
      </c>
      <c r="I3" s="45">
        <v>50000000</v>
      </c>
      <c r="J3" s="45">
        <f t="shared" ref="J3:J27" si="0">G3-I3</f>
        <v>0</v>
      </c>
      <c r="K3" s="124">
        <f t="shared" ref="K3:K8" si="1">J3</f>
        <v>0</v>
      </c>
      <c r="L3" s="367" t="s">
        <v>236</v>
      </c>
      <c r="M3" s="384">
        <f t="shared" ref="M3:M26" si="2">J3-K3</f>
        <v>0</v>
      </c>
      <c r="N3" s="1" t="s">
        <v>237</v>
      </c>
      <c r="O3" s="10"/>
      <c r="P3" s="1"/>
      <c r="Q3" s="1"/>
      <c r="R3" s="1"/>
      <c r="S3" s="1"/>
      <c r="T3" s="94"/>
      <c r="U3" s="362"/>
      <c r="V3" s="365"/>
      <c r="W3" s="365"/>
      <c r="X3" s="365"/>
      <c r="Y3" s="365"/>
      <c r="Z3" s="364"/>
      <c r="AA3" s="11" t="s">
        <v>238</v>
      </c>
      <c r="AB3" s="11" t="s">
        <v>239</v>
      </c>
      <c r="AC3" s="25" t="s">
        <v>240</v>
      </c>
      <c r="AD3" s="274" t="s">
        <v>241</v>
      </c>
      <c r="AE3" s="136"/>
      <c r="AF3" s="97" t="s">
        <v>242</v>
      </c>
      <c r="AG3" s="134" t="s">
        <v>232</v>
      </c>
      <c r="AH3" s="8"/>
      <c r="AI3" s="8"/>
      <c r="AJ3" s="8"/>
      <c r="AK3" s="8"/>
      <c r="AL3" s="8"/>
      <c r="AM3" s="8"/>
      <c r="AN3" s="47"/>
      <c r="AO3" s="8"/>
      <c r="AP3" s="8"/>
      <c r="AQ3" s="8"/>
      <c r="AR3" s="8"/>
      <c r="AS3" s="8"/>
      <c r="AT3" s="8"/>
      <c r="AU3" s="8"/>
      <c r="AV3" s="8"/>
      <c r="AW3" s="8"/>
      <c r="AX3" s="8"/>
      <c r="AY3" s="8"/>
      <c r="AZ3" s="8"/>
      <c r="BA3" s="8"/>
      <c r="BB3" s="8"/>
      <c r="BC3" s="8"/>
      <c r="BD3" s="8"/>
      <c r="BE3" s="8"/>
      <c r="BF3" s="8"/>
      <c r="BG3" s="8"/>
      <c r="BH3" s="8"/>
      <c r="BI3" s="8"/>
      <c r="BJ3" s="11"/>
      <c r="BK3" s="11"/>
      <c r="BL3" s="288" t="b">
        <f t="shared" ref="BL3:BL8" si="3">K3=SUM(AH3:BJ3)</f>
        <v>1</v>
      </c>
      <c r="BM3" s="356"/>
      <c r="BN3" s="360">
        <f t="shared" ref="BN3:BN28" si="4">$U3*AH3</f>
        <v>0</v>
      </c>
      <c r="BO3" s="360">
        <f t="shared" ref="BO3:BO28" si="5">$V3*AH3</f>
        <v>0</v>
      </c>
      <c r="BP3" s="360">
        <f t="shared" ref="BP3:BP28" si="6">$W3*AH3</f>
        <v>0</v>
      </c>
      <c r="BQ3" s="360">
        <f t="shared" ref="BQ3:BQ28" si="7">$X3*AH3</f>
        <v>0</v>
      </c>
      <c r="BR3" s="360">
        <f t="shared" ref="BR3:BR28" si="8">$Y3*AH3</f>
        <v>0</v>
      </c>
      <c r="BS3" s="360">
        <f t="shared" ref="BS3:BS28" si="9">$Z3*AH3</f>
        <v>0</v>
      </c>
      <c r="BT3" s="360">
        <f t="shared" ref="BT3:BT28" si="10">$U3*AI3</f>
        <v>0</v>
      </c>
      <c r="BU3" s="360">
        <f t="shared" ref="BU3:BU28" si="11">$V3*AI3</f>
        <v>0</v>
      </c>
      <c r="BV3" s="360">
        <f t="shared" ref="BV3:BV28" si="12">$W3*AI3</f>
        <v>0</v>
      </c>
      <c r="BW3" s="360">
        <f t="shared" ref="BW3:BW28" si="13">$X3*AI3</f>
        <v>0</v>
      </c>
      <c r="BX3" s="360">
        <f t="shared" ref="BX3:BX28" si="14">$Y3*AI3</f>
        <v>0</v>
      </c>
      <c r="BY3" s="360">
        <f t="shared" ref="BY3:BY28" si="15">$Z3*AI3</f>
        <v>0</v>
      </c>
      <c r="BZ3" s="360">
        <f t="shared" ref="BZ3:BZ28" si="16">$U3*AJ3</f>
        <v>0</v>
      </c>
      <c r="CA3" s="360">
        <f t="shared" ref="CA3:CA28" si="17">$V3*AJ3</f>
        <v>0</v>
      </c>
      <c r="CB3" s="360">
        <f t="shared" ref="CB3:CB28" si="18">$W3*AJ3</f>
        <v>0</v>
      </c>
      <c r="CC3" s="360">
        <f t="shared" ref="CC3:CC28" si="19">$X3*AJ3</f>
        <v>0</v>
      </c>
      <c r="CD3" s="360">
        <f t="shared" ref="CD3:CD28" si="20">$Y3*AJ3</f>
        <v>0</v>
      </c>
      <c r="CE3" s="360">
        <f t="shared" ref="CE3:CE28" si="21">$Z3*AJ3</f>
        <v>0</v>
      </c>
      <c r="CF3" s="360">
        <f t="shared" ref="CF3:CF28" si="22">$U3*AK3</f>
        <v>0</v>
      </c>
      <c r="CG3" s="360">
        <f t="shared" ref="CG3:CG28" si="23">$V3*AK3</f>
        <v>0</v>
      </c>
      <c r="CH3" s="360">
        <f t="shared" ref="CH3:CH28" si="24">$W3*AK3</f>
        <v>0</v>
      </c>
      <c r="CI3" s="360">
        <f t="shared" ref="CI3:CI28" si="25">$X3*AK3</f>
        <v>0</v>
      </c>
      <c r="CJ3" s="360">
        <f t="shared" ref="CJ3:CJ28" si="26">$Y3*AK3</f>
        <v>0</v>
      </c>
      <c r="CK3" s="360">
        <f t="shared" ref="CK3:CK28" si="27">$Z3*AK3</f>
        <v>0</v>
      </c>
      <c r="CL3" s="360">
        <f t="shared" ref="CL3:CL28" si="28">$U3*AL3</f>
        <v>0</v>
      </c>
      <c r="CM3" s="360">
        <f t="shared" ref="CM3:CM28" si="29">$V3*AL3</f>
        <v>0</v>
      </c>
      <c r="CN3" s="360">
        <f t="shared" ref="CN3:CN28" si="30">$W3*AL3</f>
        <v>0</v>
      </c>
      <c r="CO3" s="360">
        <f t="shared" ref="CO3:CO28" si="31">$X3*AL3</f>
        <v>0</v>
      </c>
      <c r="CP3" s="360">
        <f t="shared" ref="CP3:CP28" si="32">$Y3*AL3</f>
        <v>0</v>
      </c>
      <c r="CQ3" s="360">
        <f t="shared" ref="CQ3:CQ28" si="33">$Z3*AL3</f>
        <v>0</v>
      </c>
      <c r="CR3" s="360">
        <f t="shared" ref="CR3:CR28" si="34">$U3*AM3</f>
        <v>0</v>
      </c>
      <c r="CS3" s="360">
        <f t="shared" ref="CS3:CS28" si="35">$V3*AM3</f>
        <v>0</v>
      </c>
      <c r="CT3" s="360">
        <f t="shared" ref="CT3:CT28" si="36">$W3*AM3</f>
        <v>0</v>
      </c>
      <c r="CU3" s="360">
        <f t="shared" ref="CU3:CU28" si="37">$X3*AM3</f>
        <v>0</v>
      </c>
      <c r="CV3" s="360">
        <f t="shared" ref="CV3:CV28" si="38">$Y3*AM3</f>
        <v>0</v>
      </c>
      <c r="CW3" s="360">
        <f t="shared" ref="CW3:CW28" si="39">$Z3*AM3</f>
        <v>0</v>
      </c>
      <c r="CX3" s="360">
        <f t="shared" ref="CX3:CX28" si="40">$U3*AN3</f>
        <v>0</v>
      </c>
      <c r="CY3" s="360">
        <f t="shared" ref="CY3:CY28" si="41">$V3*AN3</f>
        <v>0</v>
      </c>
      <c r="CZ3" s="360">
        <f t="shared" ref="CZ3:CZ28" si="42">$W3*AN3</f>
        <v>0</v>
      </c>
      <c r="DA3" s="360">
        <f t="shared" ref="DA3:DA28" si="43">$X3*AN3</f>
        <v>0</v>
      </c>
      <c r="DB3" s="360">
        <f t="shared" ref="DB3:DB28" si="44">$Y3*AN3</f>
        <v>0</v>
      </c>
      <c r="DC3" s="360">
        <f t="shared" ref="DC3:DC28" si="45">$Z3*AN3</f>
        <v>0</v>
      </c>
      <c r="DD3" s="360">
        <f t="shared" ref="DD3:DD28" si="46">$U3*AO3</f>
        <v>0</v>
      </c>
      <c r="DE3" s="360">
        <f t="shared" ref="DE3:DE28" si="47">$V3*AO3</f>
        <v>0</v>
      </c>
      <c r="DF3" s="360">
        <f t="shared" ref="DF3:DF28" si="48">$W3*AO3</f>
        <v>0</v>
      </c>
      <c r="DG3" s="360">
        <f t="shared" ref="DG3:DG28" si="49">$X3*AO3</f>
        <v>0</v>
      </c>
      <c r="DH3" s="360">
        <f t="shared" ref="DH3:DH28" si="50">$Y3*AO3</f>
        <v>0</v>
      </c>
      <c r="DI3" s="360">
        <f t="shared" ref="DI3:DI28" si="51">$Z3*AO3</f>
        <v>0</v>
      </c>
      <c r="DJ3" s="359"/>
    </row>
    <row r="4" spans="1:191" ht="42" x14ac:dyDescent="0.3">
      <c r="A4" s="55" t="s">
        <v>243</v>
      </c>
      <c r="B4" s="136" t="s">
        <v>244</v>
      </c>
      <c r="C4" s="11" t="s">
        <v>245</v>
      </c>
      <c r="D4" s="1" t="s">
        <v>246</v>
      </c>
      <c r="E4" s="1" t="s">
        <v>247</v>
      </c>
      <c r="F4" s="94" t="s">
        <v>248</v>
      </c>
      <c r="G4" s="118">
        <v>4000000</v>
      </c>
      <c r="H4" s="126" t="s">
        <v>235</v>
      </c>
      <c r="I4" s="48">
        <v>0</v>
      </c>
      <c r="J4" s="48">
        <f t="shared" si="0"/>
        <v>4000000</v>
      </c>
      <c r="K4" s="118">
        <f t="shared" si="1"/>
        <v>4000000</v>
      </c>
      <c r="L4" s="116" t="s">
        <v>249</v>
      </c>
      <c r="M4" s="129">
        <f t="shared" si="2"/>
        <v>0</v>
      </c>
      <c r="N4" s="1" t="s">
        <v>250</v>
      </c>
      <c r="O4" s="10"/>
      <c r="P4" s="10"/>
      <c r="Q4" s="1"/>
      <c r="R4" s="1"/>
      <c r="S4" s="1"/>
      <c r="T4" s="94"/>
      <c r="U4" s="365"/>
      <c r="V4" s="362">
        <v>1</v>
      </c>
      <c r="W4" s="365"/>
      <c r="X4" s="365"/>
      <c r="Y4" s="365"/>
      <c r="Z4" s="364"/>
      <c r="AA4" s="11"/>
      <c r="AB4" s="11" t="s">
        <v>239</v>
      </c>
      <c r="AC4" s="25" t="s">
        <v>251</v>
      </c>
      <c r="AD4" s="274" t="s">
        <v>241</v>
      </c>
      <c r="AE4" s="136"/>
      <c r="AF4" s="97" t="s">
        <v>242</v>
      </c>
      <c r="AG4" s="134" t="s">
        <v>252</v>
      </c>
      <c r="AH4" s="87">
        <f>K4</f>
        <v>4000000</v>
      </c>
      <c r="AI4" s="8"/>
      <c r="AJ4" s="8"/>
      <c r="AK4" s="8"/>
      <c r="AL4" s="8"/>
      <c r="AM4" s="8"/>
      <c r="AN4" s="47"/>
      <c r="AO4" s="8"/>
      <c r="AP4" s="8"/>
      <c r="AQ4" s="8"/>
      <c r="AR4" s="8"/>
      <c r="AS4" s="8"/>
      <c r="AT4" s="8"/>
      <c r="AU4" s="8"/>
      <c r="AV4" s="8"/>
      <c r="AW4" s="8"/>
      <c r="AX4" s="8"/>
      <c r="AY4" s="8"/>
      <c r="AZ4" s="8"/>
      <c r="BA4" s="8"/>
      <c r="BB4" s="8"/>
      <c r="BC4" s="8"/>
      <c r="BD4" s="8"/>
      <c r="BE4" s="8"/>
      <c r="BF4" s="8"/>
      <c r="BG4" s="8"/>
      <c r="BH4" s="8"/>
      <c r="BI4" s="8"/>
      <c r="BJ4" s="11"/>
      <c r="BK4" s="11"/>
      <c r="BL4" s="288" t="b">
        <f t="shared" si="3"/>
        <v>1</v>
      </c>
      <c r="BM4" s="356"/>
      <c r="BN4" s="360">
        <f t="shared" si="4"/>
        <v>0</v>
      </c>
      <c r="BO4" s="360">
        <f t="shared" si="5"/>
        <v>4000000</v>
      </c>
      <c r="BP4" s="360">
        <f t="shared" si="6"/>
        <v>0</v>
      </c>
      <c r="BQ4" s="360">
        <f t="shared" si="7"/>
        <v>0</v>
      </c>
      <c r="BR4" s="360">
        <f t="shared" si="8"/>
        <v>0</v>
      </c>
      <c r="BS4" s="360">
        <f t="shared" si="9"/>
        <v>0</v>
      </c>
      <c r="BT4" s="360">
        <f t="shared" si="10"/>
        <v>0</v>
      </c>
      <c r="BU4" s="360">
        <f t="shared" si="11"/>
        <v>0</v>
      </c>
      <c r="BV4" s="360">
        <f t="shared" si="12"/>
        <v>0</v>
      </c>
      <c r="BW4" s="360">
        <f t="shared" si="13"/>
        <v>0</v>
      </c>
      <c r="BX4" s="360">
        <f t="shared" si="14"/>
        <v>0</v>
      </c>
      <c r="BY4" s="360">
        <f t="shared" si="15"/>
        <v>0</v>
      </c>
      <c r="BZ4" s="360">
        <f t="shared" si="16"/>
        <v>0</v>
      </c>
      <c r="CA4" s="360">
        <f t="shared" si="17"/>
        <v>0</v>
      </c>
      <c r="CB4" s="360">
        <f t="shared" si="18"/>
        <v>0</v>
      </c>
      <c r="CC4" s="360">
        <f t="shared" si="19"/>
        <v>0</v>
      </c>
      <c r="CD4" s="360">
        <f t="shared" si="20"/>
        <v>0</v>
      </c>
      <c r="CE4" s="360">
        <f t="shared" si="21"/>
        <v>0</v>
      </c>
      <c r="CF4" s="360">
        <f t="shared" si="22"/>
        <v>0</v>
      </c>
      <c r="CG4" s="360">
        <f t="shared" si="23"/>
        <v>0</v>
      </c>
      <c r="CH4" s="360">
        <f t="shared" si="24"/>
        <v>0</v>
      </c>
      <c r="CI4" s="360">
        <f t="shared" si="25"/>
        <v>0</v>
      </c>
      <c r="CJ4" s="360">
        <f t="shared" si="26"/>
        <v>0</v>
      </c>
      <c r="CK4" s="360">
        <f t="shared" si="27"/>
        <v>0</v>
      </c>
      <c r="CL4" s="360">
        <f t="shared" si="28"/>
        <v>0</v>
      </c>
      <c r="CM4" s="360">
        <f t="shared" si="29"/>
        <v>0</v>
      </c>
      <c r="CN4" s="360">
        <f t="shared" si="30"/>
        <v>0</v>
      </c>
      <c r="CO4" s="360">
        <f t="shared" si="31"/>
        <v>0</v>
      </c>
      <c r="CP4" s="360">
        <f t="shared" si="32"/>
        <v>0</v>
      </c>
      <c r="CQ4" s="360">
        <f t="shared" si="33"/>
        <v>0</v>
      </c>
      <c r="CR4" s="360">
        <f t="shared" si="34"/>
        <v>0</v>
      </c>
      <c r="CS4" s="360">
        <f t="shared" si="35"/>
        <v>0</v>
      </c>
      <c r="CT4" s="360">
        <f t="shared" si="36"/>
        <v>0</v>
      </c>
      <c r="CU4" s="360">
        <f t="shared" si="37"/>
        <v>0</v>
      </c>
      <c r="CV4" s="360">
        <f t="shared" si="38"/>
        <v>0</v>
      </c>
      <c r="CW4" s="360">
        <f t="shared" si="39"/>
        <v>0</v>
      </c>
      <c r="CX4" s="360">
        <f t="shared" si="40"/>
        <v>0</v>
      </c>
      <c r="CY4" s="360">
        <f t="shared" si="41"/>
        <v>0</v>
      </c>
      <c r="CZ4" s="360">
        <f t="shared" si="42"/>
        <v>0</v>
      </c>
      <c r="DA4" s="360">
        <f t="shared" si="43"/>
        <v>0</v>
      </c>
      <c r="DB4" s="360">
        <f t="shared" si="44"/>
        <v>0</v>
      </c>
      <c r="DC4" s="360">
        <f t="shared" si="45"/>
        <v>0</v>
      </c>
      <c r="DD4" s="360">
        <f t="shared" si="46"/>
        <v>0</v>
      </c>
      <c r="DE4" s="360">
        <f t="shared" si="47"/>
        <v>0</v>
      </c>
      <c r="DF4" s="360">
        <f t="shared" si="48"/>
        <v>0</v>
      </c>
      <c r="DG4" s="360">
        <f t="shared" si="49"/>
        <v>0</v>
      </c>
      <c r="DH4" s="360">
        <f t="shared" si="50"/>
        <v>0</v>
      </c>
      <c r="DI4" s="360">
        <f t="shared" si="51"/>
        <v>0</v>
      </c>
      <c r="DJ4" s="359"/>
    </row>
    <row r="5" spans="1:191" ht="42" x14ac:dyDescent="0.3">
      <c r="A5" s="55" t="s">
        <v>253</v>
      </c>
      <c r="B5" s="136" t="s">
        <v>244</v>
      </c>
      <c r="C5" s="11" t="s">
        <v>254</v>
      </c>
      <c r="D5" s="1" t="s">
        <v>246</v>
      </c>
      <c r="E5" s="1" t="s">
        <v>247</v>
      </c>
      <c r="F5" s="94" t="s">
        <v>248</v>
      </c>
      <c r="G5" s="118">
        <v>2000000</v>
      </c>
      <c r="H5" s="126" t="s">
        <v>235</v>
      </c>
      <c r="I5" s="48">
        <v>0</v>
      </c>
      <c r="J5" s="48">
        <f t="shared" si="0"/>
        <v>2000000</v>
      </c>
      <c r="K5" s="118">
        <f t="shared" si="1"/>
        <v>2000000</v>
      </c>
      <c r="L5" s="116" t="s">
        <v>249</v>
      </c>
      <c r="M5" s="129">
        <f t="shared" si="2"/>
        <v>0</v>
      </c>
      <c r="N5" s="1" t="s">
        <v>250</v>
      </c>
      <c r="O5" s="10"/>
      <c r="P5" s="10"/>
      <c r="Q5" s="1"/>
      <c r="R5" s="1"/>
      <c r="S5" s="1"/>
      <c r="T5" s="94"/>
      <c r="U5" s="365"/>
      <c r="V5" s="362">
        <v>1</v>
      </c>
      <c r="W5" s="365"/>
      <c r="X5" s="365"/>
      <c r="Y5" s="365"/>
      <c r="Z5" s="364"/>
      <c r="AA5" s="11"/>
      <c r="AB5" s="11" t="s">
        <v>239</v>
      </c>
      <c r="AC5" s="25" t="s">
        <v>251</v>
      </c>
      <c r="AD5" s="274" t="s">
        <v>241</v>
      </c>
      <c r="AE5" s="136"/>
      <c r="AF5" s="97" t="s">
        <v>242</v>
      </c>
      <c r="AG5" s="134" t="s">
        <v>252</v>
      </c>
      <c r="AH5" s="87">
        <f>K5</f>
        <v>2000000</v>
      </c>
      <c r="AI5" s="8"/>
      <c r="AJ5" s="8"/>
      <c r="AK5" s="8"/>
      <c r="AL5" s="8"/>
      <c r="AM5" s="8"/>
      <c r="AN5" s="47"/>
      <c r="AO5" s="8"/>
      <c r="AP5" s="8"/>
      <c r="AQ5" s="8"/>
      <c r="AR5" s="8"/>
      <c r="AS5" s="8"/>
      <c r="AT5" s="8"/>
      <c r="AU5" s="8"/>
      <c r="AV5" s="8"/>
      <c r="AW5" s="8"/>
      <c r="AX5" s="8"/>
      <c r="AY5" s="8"/>
      <c r="AZ5" s="8"/>
      <c r="BA5" s="8"/>
      <c r="BB5" s="8"/>
      <c r="BC5" s="8"/>
      <c r="BD5" s="8"/>
      <c r="BE5" s="8"/>
      <c r="BF5" s="8"/>
      <c r="BG5" s="8"/>
      <c r="BH5" s="8"/>
      <c r="BI5" s="8"/>
      <c r="BJ5" s="11"/>
      <c r="BK5" s="11"/>
      <c r="BL5" s="288" t="b">
        <f t="shared" si="3"/>
        <v>1</v>
      </c>
      <c r="BM5" s="356"/>
      <c r="BN5" s="360">
        <f t="shared" si="4"/>
        <v>0</v>
      </c>
      <c r="BO5" s="360">
        <f t="shared" si="5"/>
        <v>2000000</v>
      </c>
      <c r="BP5" s="360">
        <f t="shared" si="6"/>
        <v>0</v>
      </c>
      <c r="BQ5" s="360">
        <f t="shared" si="7"/>
        <v>0</v>
      </c>
      <c r="BR5" s="360">
        <f t="shared" si="8"/>
        <v>0</v>
      </c>
      <c r="BS5" s="360">
        <f t="shared" si="9"/>
        <v>0</v>
      </c>
      <c r="BT5" s="360">
        <f t="shared" si="10"/>
        <v>0</v>
      </c>
      <c r="BU5" s="360">
        <f t="shared" si="11"/>
        <v>0</v>
      </c>
      <c r="BV5" s="360">
        <f t="shared" si="12"/>
        <v>0</v>
      </c>
      <c r="BW5" s="360">
        <f t="shared" si="13"/>
        <v>0</v>
      </c>
      <c r="BX5" s="360">
        <f t="shared" si="14"/>
        <v>0</v>
      </c>
      <c r="BY5" s="360">
        <f t="shared" si="15"/>
        <v>0</v>
      </c>
      <c r="BZ5" s="360">
        <f t="shared" si="16"/>
        <v>0</v>
      </c>
      <c r="CA5" s="360">
        <f t="shared" si="17"/>
        <v>0</v>
      </c>
      <c r="CB5" s="360">
        <f t="shared" si="18"/>
        <v>0</v>
      </c>
      <c r="CC5" s="360">
        <f t="shared" si="19"/>
        <v>0</v>
      </c>
      <c r="CD5" s="360">
        <f t="shared" si="20"/>
        <v>0</v>
      </c>
      <c r="CE5" s="360">
        <f t="shared" si="21"/>
        <v>0</v>
      </c>
      <c r="CF5" s="360">
        <f t="shared" si="22"/>
        <v>0</v>
      </c>
      <c r="CG5" s="360">
        <f t="shared" si="23"/>
        <v>0</v>
      </c>
      <c r="CH5" s="360">
        <f t="shared" si="24"/>
        <v>0</v>
      </c>
      <c r="CI5" s="360">
        <f t="shared" si="25"/>
        <v>0</v>
      </c>
      <c r="CJ5" s="360">
        <f t="shared" si="26"/>
        <v>0</v>
      </c>
      <c r="CK5" s="360">
        <f t="shared" si="27"/>
        <v>0</v>
      </c>
      <c r="CL5" s="360">
        <f t="shared" si="28"/>
        <v>0</v>
      </c>
      <c r="CM5" s="360">
        <f t="shared" si="29"/>
        <v>0</v>
      </c>
      <c r="CN5" s="360">
        <f t="shared" si="30"/>
        <v>0</v>
      </c>
      <c r="CO5" s="360">
        <f t="shared" si="31"/>
        <v>0</v>
      </c>
      <c r="CP5" s="360">
        <f t="shared" si="32"/>
        <v>0</v>
      </c>
      <c r="CQ5" s="360">
        <f t="shared" si="33"/>
        <v>0</v>
      </c>
      <c r="CR5" s="360">
        <f t="shared" si="34"/>
        <v>0</v>
      </c>
      <c r="CS5" s="360">
        <f t="shared" si="35"/>
        <v>0</v>
      </c>
      <c r="CT5" s="360">
        <f t="shared" si="36"/>
        <v>0</v>
      </c>
      <c r="CU5" s="360">
        <f t="shared" si="37"/>
        <v>0</v>
      </c>
      <c r="CV5" s="360">
        <f t="shared" si="38"/>
        <v>0</v>
      </c>
      <c r="CW5" s="360">
        <f t="shared" si="39"/>
        <v>0</v>
      </c>
      <c r="CX5" s="360">
        <f t="shared" si="40"/>
        <v>0</v>
      </c>
      <c r="CY5" s="360">
        <f t="shared" si="41"/>
        <v>0</v>
      </c>
      <c r="CZ5" s="360">
        <f t="shared" si="42"/>
        <v>0</v>
      </c>
      <c r="DA5" s="360">
        <f t="shared" si="43"/>
        <v>0</v>
      </c>
      <c r="DB5" s="360">
        <f t="shared" si="44"/>
        <v>0</v>
      </c>
      <c r="DC5" s="360">
        <f t="shared" si="45"/>
        <v>0</v>
      </c>
      <c r="DD5" s="360">
        <f t="shared" si="46"/>
        <v>0</v>
      </c>
      <c r="DE5" s="360">
        <f t="shared" si="47"/>
        <v>0</v>
      </c>
      <c r="DF5" s="360">
        <f t="shared" si="48"/>
        <v>0</v>
      </c>
      <c r="DG5" s="360">
        <f t="shared" si="49"/>
        <v>0</v>
      </c>
      <c r="DH5" s="360">
        <f t="shared" si="50"/>
        <v>0</v>
      </c>
      <c r="DI5" s="360">
        <f t="shared" si="51"/>
        <v>0</v>
      </c>
      <c r="DJ5" s="359"/>
    </row>
    <row r="6" spans="1:191" ht="42" x14ac:dyDescent="0.3">
      <c r="A6" s="55" t="s">
        <v>255</v>
      </c>
      <c r="B6" s="136" t="s">
        <v>244</v>
      </c>
      <c r="C6" s="11" t="s">
        <v>256</v>
      </c>
      <c r="D6" s="1" t="s">
        <v>246</v>
      </c>
      <c r="E6" s="1" t="s">
        <v>247</v>
      </c>
      <c r="F6" s="94" t="s">
        <v>248</v>
      </c>
      <c r="G6" s="118">
        <v>7000000</v>
      </c>
      <c r="H6" s="126" t="s">
        <v>235</v>
      </c>
      <c r="I6" s="48">
        <v>0</v>
      </c>
      <c r="J6" s="48">
        <f t="shared" si="0"/>
        <v>7000000</v>
      </c>
      <c r="K6" s="118">
        <f t="shared" si="1"/>
        <v>7000000</v>
      </c>
      <c r="L6" s="116" t="s">
        <v>249</v>
      </c>
      <c r="M6" s="129">
        <f t="shared" si="2"/>
        <v>0</v>
      </c>
      <c r="N6" s="1" t="s">
        <v>250</v>
      </c>
      <c r="O6" s="10"/>
      <c r="P6" s="10"/>
      <c r="Q6" s="1"/>
      <c r="R6" s="1"/>
      <c r="S6" s="1"/>
      <c r="T6" s="94"/>
      <c r="U6" s="365"/>
      <c r="V6" s="362">
        <v>1</v>
      </c>
      <c r="W6" s="365"/>
      <c r="X6" s="365"/>
      <c r="Y6" s="365"/>
      <c r="Z6" s="364"/>
      <c r="AA6" s="11"/>
      <c r="AB6" s="11" t="s">
        <v>239</v>
      </c>
      <c r="AC6" s="25" t="s">
        <v>251</v>
      </c>
      <c r="AD6" s="274" t="s">
        <v>241</v>
      </c>
      <c r="AE6" s="136"/>
      <c r="AF6" s="386" t="s">
        <v>257</v>
      </c>
      <c r="AG6" s="134" t="s">
        <v>252</v>
      </c>
      <c r="AH6" s="8"/>
      <c r="AI6" s="87">
        <f>K6</f>
        <v>7000000</v>
      </c>
      <c r="AJ6" s="8"/>
      <c r="AK6" s="8"/>
      <c r="AL6" s="8"/>
      <c r="AM6" s="8"/>
      <c r="AN6" s="47"/>
      <c r="AO6" s="8"/>
      <c r="AP6" s="8"/>
      <c r="AQ6" s="8"/>
      <c r="AR6" s="8"/>
      <c r="AS6" s="8"/>
      <c r="AT6" s="8"/>
      <c r="AU6" s="8"/>
      <c r="AV6" s="8"/>
      <c r="AW6" s="8"/>
      <c r="AX6" s="8"/>
      <c r="AY6" s="8"/>
      <c r="AZ6" s="8"/>
      <c r="BA6" s="8"/>
      <c r="BB6" s="8"/>
      <c r="BC6" s="8"/>
      <c r="BD6" s="8"/>
      <c r="BE6" s="8"/>
      <c r="BF6" s="8"/>
      <c r="BG6" s="8"/>
      <c r="BH6" s="8"/>
      <c r="BI6" s="8"/>
      <c r="BJ6" s="11"/>
      <c r="BK6" s="11"/>
      <c r="BL6" s="288" t="b">
        <f t="shared" si="3"/>
        <v>1</v>
      </c>
      <c r="BM6" s="356"/>
      <c r="BN6" s="360">
        <f t="shared" si="4"/>
        <v>0</v>
      </c>
      <c r="BO6" s="360">
        <f t="shared" si="5"/>
        <v>0</v>
      </c>
      <c r="BP6" s="360">
        <f t="shared" si="6"/>
        <v>0</v>
      </c>
      <c r="BQ6" s="360">
        <f t="shared" si="7"/>
        <v>0</v>
      </c>
      <c r="BR6" s="360">
        <f t="shared" si="8"/>
        <v>0</v>
      </c>
      <c r="BS6" s="360">
        <f t="shared" si="9"/>
        <v>0</v>
      </c>
      <c r="BT6" s="360">
        <f t="shared" si="10"/>
        <v>0</v>
      </c>
      <c r="BU6" s="360">
        <f t="shared" si="11"/>
        <v>7000000</v>
      </c>
      <c r="BV6" s="360">
        <f t="shared" si="12"/>
        <v>0</v>
      </c>
      <c r="BW6" s="360">
        <f t="shared" si="13"/>
        <v>0</v>
      </c>
      <c r="BX6" s="360">
        <f t="shared" si="14"/>
        <v>0</v>
      </c>
      <c r="BY6" s="360">
        <f t="shared" si="15"/>
        <v>0</v>
      </c>
      <c r="BZ6" s="360">
        <f t="shared" si="16"/>
        <v>0</v>
      </c>
      <c r="CA6" s="360">
        <f t="shared" si="17"/>
        <v>0</v>
      </c>
      <c r="CB6" s="360">
        <f t="shared" si="18"/>
        <v>0</v>
      </c>
      <c r="CC6" s="360">
        <f t="shared" si="19"/>
        <v>0</v>
      </c>
      <c r="CD6" s="360">
        <f t="shared" si="20"/>
        <v>0</v>
      </c>
      <c r="CE6" s="360">
        <f t="shared" si="21"/>
        <v>0</v>
      </c>
      <c r="CF6" s="360">
        <f t="shared" si="22"/>
        <v>0</v>
      </c>
      <c r="CG6" s="360">
        <f t="shared" si="23"/>
        <v>0</v>
      </c>
      <c r="CH6" s="360">
        <f t="shared" si="24"/>
        <v>0</v>
      </c>
      <c r="CI6" s="360">
        <f t="shared" si="25"/>
        <v>0</v>
      </c>
      <c r="CJ6" s="360">
        <f t="shared" si="26"/>
        <v>0</v>
      </c>
      <c r="CK6" s="360">
        <f t="shared" si="27"/>
        <v>0</v>
      </c>
      <c r="CL6" s="360">
        <f t="shared" si="28"/>
        <v>0</v>
      </c>
      <c r="CM6" s="360">
        <f t="shared" si="29"/>
        <v>0</v>
      </c>
      <c r="CN6" s="360">
        <f t="shared" si="30"/>
        <v>0</v>
      </c>
      <c r="CO6" s="360">
        <f t="shared" si="31"/>
        <v>0</v>
      </c>
      <c r="CP6" s="360">
        <f t="shared" si="32"/>
        <v>0</v>
      </c>
      <c r="CQ6" s="360">
        <f t="shared" si="33"/>
        <v>0</v>
      </c>
      <c r="CR6" s="360">
        <f t="shared" si="34"/>
        <v>0</v>
      </c>
      <c r="CS6" s="360">
        <f t="shared" si="35"/>
        <v>0</v>
      </c>
      <c r="CT6" s="360">
        <f t="shared" si="36"/>
        <v>0</v>
      </c>
      <c r="CU6" s="360">
        <f t="shared" si="37"/>
        <v>0</v>
      </c>
      <c r="CV6" s="360">
        <f t="shared" si="38"/>
        <v>0</v>
      </c>
      <c r="CW6" s="360">
        <f t="shared" si="39"/>
        <v>0</v>
      </c>
      <c r="CX6" s="360">
        <f t="shared" si="40"/>
        <v>0</v>
      </c>
      <c r="CY6" s="360">
        <f t="shared" si="41"/>
        <v>0</v>
      </c>
      <c r="CZ6" s="360">
        <f t="shared" si="42"/>
        <v>0</v>
      </c>
      <c r="DA6" s="360">
        <f t="shared" si="43"/>
        <v>0</v>
      </c>
      <c r="DB6" s="360">
        <f t="shared" si="44"/>
        <v>0</v>
      </c>
      <c r="DC6" s="360">
        <f t="shared" si="45"/>
        <v>0</v>
      </c>
      <c r="DD6" s="360">
        <f t="shared" si="46"/>
        <v>0</v>
      </c>
      <c r="DE6" s="360">
        <f t="shared" si="47"/>
        <v>0</v>
      </c>
      <c r="DF6" s="360">
        <f t="shared" si="48"/>
        <v>0</v>
      </c>
      <c r="DG6" s="360">
        <f t="shared" si="49"/>
        <v>0</v>
      </c>
      <c r="DH6" s="360">
        <f t="shared" si="50"/>
        <v>0</v>
      </c>
      <c r="DI6" s="360">
        <f t="shared" si="51"/>
        <v>0</v>
      </c>
      <c r="DJ6" s="359"/>
    </row>
    <row r="7" spans="1:191" ht="84" x14ac:dyDescent="0.3">
      <c r="A7" s="55" t="s">
        <v>258</v>
      </c>
      <c r="B7" s="136" t="s">
        <v>259</v>
      </c>
      <c r="C7" s="11" t="s">
        <v>260</v>
      </c>
      <c r="D7" s="1" t="s">
        <v>246</v>
      </c>
      <c r="E7" s="1" t="s">
        <v>261</v>
      </c>
      <c r="F7" s="94" t="s">
        <v>262</v>
      </c>
      <c r="G7" s="124">
        <v>5000000</v>
      </c>
      <c r="H7" s="126" t="s">
        <v>263</v>
      </c>
      <c r="I7" s="45">
        <v>0</v>
      </c>
      <c r="J7" s="45">
        <f t="shared" si="0"/>
        <v>5000000</v>
      </c>
      <c r="K7" s="124">
        <f t="shared" si="1"/>
        <v>5000000</v>
      </c>
      <c r="L7" s="126" t="s">
        <v>264</v>
      </c>
      <c r="M7" s="384">
        <f t="shared" si="2"/>
        <v>0</v>
      </c>
      <c r="N7" s="1" t="s">
        <v>265</v>
      </c>
      <c r="O7" s="1"/>
      <c r="P7" s="10"/>
      <c r="Q7" s="10"/>
      <c r="R7" s="1"/>
      <c r="S7" s="1"/>
      <c r="T7" s="94"/>
      <c r="U7" s="365"/>
      <c r="V7" s="362">
        <v>0.5</v>
      </c>
      <c r="W7" s="362">
        <v>0.5</v>
      </c>
      <c r="X7" s="365"/>
      <c r="Y7" s="365"/>
      <c r="Z7" s="364"/>
      <c r="AA7" s="11" t="s">
        <v>266</v>
      </c>
      <c r="AB7" s="11" t="s">
        <v>239</v>
      </c>
      <c r="AC7" s="25" t="s">
        <v>267</v>
      </c>
      <c r="AD7" s="274" t="s">
        <v>241</v>
      </c>
      <c r="AE7" s="136"/>
      <c r="AF7" s="97" t="s">
        <v>242</v>
      </c>
      <c r="AG7" s="134" t="s">
        <v>268</v>
      </c>
      <c r="AH7" s="8"/>
      <c r="AI7" s="8"/>
      <c r="AJ7" s="87">
        <v>3500000</v>
      </c>
      <c r="AK7" s="87">
        <f>1000000*'[1]Apportionment %'!F5</f>
        <v>377455.56594948546</v>
      </c>
      <c r="AL7" s="87">
        <f>1000000*'[1]Apportionment %'!G5</f>
        <v>622544.43405051448</v>
      </c>
      <c r="AM7" s="8"/>
      <c r="AN7" s="47"/>
      <c r="AO7" s="8"/>
      <c r="AP7" s="8"/>
      <c r="AQ7" s="8"/>
      <c r="AR7" s="8"/>
      <c r="AS7" s="8"/>
      <c r="AT7" s="8"/>
      <c r="AU7" s="8"/>
      <c r="AV7" s="8"/>
      <c r="AW7" s="8"/>
      <c r="AX7" s="8"/>
      <c r="AY7" s="8"/>
      <c r="AZ7" s="8"/>
      <c r="BA7" s="8"/>
      <c r="BB7" s="8"/>
      <c r="BC7" s="8"/>
      <c r="BD7" s="8"/>
      <c r="BE7" s="8"/>
      <c r="BF7" s="8"/>
      <c r="BG7" s="8"/>
      <c r="BH7" s="8"/>
      <c r="BI7" s="8"/>
      <c r="BJ7" s="87">
        <v>500000</v>
      </c>
      <c r="BK7" s="11" t="s">
        <v>269</v>
      </c>
      <c r="BL7" s="288" t="b">
        <f t="shared" si="3"/>
        <v>1</v>
      </c>
      <c r="BM7" s="356"/>
      <c r="BN7" s="360">
        <f t="shared" si="4"/>
        <v>0</v>
      </c>
      <c r="BO7" s="360">
        <f t="shared" si="5"/>
        <v>0</v>
      </c>
      <c r="BP7" s="360">
        <f t="shared" si="6"/>
        <v>0</v>
      </c>
      <c r="BQ7" s="360">
        <f t="shared" si="7"/>
        <v>0</v>
      </c>
      <c r="BR7" s="360">
        <f t="shared" si="8"/>
        <v>0</v>
      </c>
      <c r="BS7" s="360">
        <f t="shared" si="9"/>
        <v>0</v>
      </c>
      <c r="BT7" s="360">
        <f t="shared" si="10"/>
        <v>0</v>
      </c>
      <c r="BU7" s="360">
        <f t="shared" si="11"/>
        <v>0</v>
      </c>
      <c r="BV7" s="360">
        <f t="shared" si="12"/>
        <v>0</v>
      </c>
      <c r="BW7" s="360">
        <f t="shared" si="13"/>
        <v>0</v>
      </c>
      <c r="BX7" s="360">
        <f t="shared" si="14"/>
        <v>0</v>
      </c>
      <c r="BY7" s="360">
        <f t="shared" si="15"/>
        <v>0</v>
      </c>
      <c r="BZ7" s="360">
        <f t="shared" si="16"/>
        <v>0</v>
      </c>
      <c r="CA7" s="360">
        <f t="shared" si="17"/>
        <v>1750000</v>
      </c>
      <c r="CB7" s="360">
        <f t="shared" si="18"/>
        <v>1750000</v>
      </c>
      <c r="CC7" s="360">
        <f t="shared" si="19"/>
        <v>0</v>
      </c>
      <c r="CD7" s="360">
        <f t="shared" si="20"/>
        <v>0</v>
      </c>
      <c r="CE7" s="360">
        <f t="shared" si="21"/>
        <v>0</v>
      </c>
      <c r="CF7" s="360">
        <f t="shared" si="22"/>
        <v>0</v>
      </c>
      <c r="CG7" s="360">
        <f t="shared" si="23"/>
        <v>188727.78297474273</v>
      </c>
      <c r="CH7" s="360">
        <f t="shared" si="24"/>
        <v>188727.78297474273</v>
      </c>
      <c r="CI7" s="360">
        <f t="shared" si="25"/>
        <v>0</v>
      </c>
      <c r="CJ7" s="360">
        <f t="shared" si="26"/>
        <v>0</v>
      </c>
      <c r="CK7" s="360">
        <f t="shared" si="27"/>
        <v>0</v>
      </c>
      <c r="CL7" s="360">
        <f t="shared" si="28"/>
        <v>0</v>
      </c>
      <c r="CM7" s="360">
        <f t="shared" si="29"/>
        <v>311272.21702525724</v>
      </c>
      <c r="CN7" s="360">
        <f t="shared" si="30"/>
        <v>311272.21702525724</v>
      </c>
      <c r="CO7" s="360">
        <f t="shared" si="31"/>
        <v>0</v>
      </c>
      <c r="CP7" s="360">
        <f t="shared" si="32"/>
        <v>0</v>
      </c>
      <c r="CQ7" s="360">
        <f t="shared" si="33"/>
        <v>0</v>
      </c>
      <c r="CR7" s="360">
        <f t="shared" si="34"/>
        <v>0</v>
      </c>
      <c r="CS7" s="360">
        <f t="shared" si="35"/>
        <v>0</v>
      </c>
      <c r="CT7" s="360">
        <f t="shared" si="36"/>
        <v>0</v>
      </c>
      <c r="CU7" s="360">
        <f t="shared" si="37"/>
        <v>0</v>
      </c>
      <c r="CV7" s="360">
        <f t="shared" si="38"/>
        <v>0</v>
      </c>
      <c r="CW7" s="360">
        <f t="shared" si="39"/>
        <v>0</v>
      </c>
      <c r="CX7" s="360">
        <f t="shared" si="40"/>
        <v>0</v>
      </c>
      <c r="CY7" s="360">
        <f t="shared" si="41"/>
        <v>0</v>
      </c>
      <c r="CZ7" s="360">
        <f t="shared" si="42"/>
        <v>0</v>
      </c>
      <c r="DA7" s="360">
        <f t="shared" si="43"/>
        <v>0</v>
      </c>
      <c r="DB7" s="360">
        <f t="shared" si="44"/>
        <v>0</v>
      </c>
      <c r="DC7" s="360">
        <f t="shared" si="45"/>
        <v>0</v>
      </c>
      <c r="DD7" s="360">
        <f t="shared" si="46"/>
        <v>0</v>
      </c>
      <c r="DE7" s="360">
        <f t="shared" si="47"/>
        <v>0</v>
      </c>
      <c r="DF7" s="360">
        <f t="shared" si="48"/>
        <v>0</v>
      </c>
      <c r="DG7" s="360">
        <f t="shared" si="49"/>
        <v>0</v>
      </c>
      <c r="DH7" s="360">
        <f t="shared" si="50"/>
        <v>0</v>
      </c>
      <c r="DI7" s="360">
        <f t="shared" si="51"/>
        <v>0</v>
      </c>
      <c r="DJ7" s="359"/>
    </row>
    <row r="8" spans="1:191" ht="42" x14ac:dyDescent="0.3">
      <c r="A8" s="55" t="s">
        <v>270</v>
      </c>
      <c r="B8" s="136"/>
      <c r="C8" s="11" t="s">
        <v>271</v>
      </c>
      <c r="D8" s="1" t="s">
        <v>246</v>
      </c>
      <c r="E8" s="1" t="s">
        <v>272</v>
      </c>
      <c r="F8" s="94" t="s">
        <v>248</v>
      </c>
      <c r="G8" s="124">
        <v>5000000</v>
      </c>
      <c r="H8" s="126" t="s">
        <v>273</v>
      </c>
      <c r="I8" s="45">
        <v>0</v>
      </c>
      <c r="J8" s="45">
        <f t="shared" si="0"/>
        <v>5000000</v>
      </c>
      <c r="K8" s="124">
        <f t="shared" si="1"/>
        <v>5000000</v>
      </c>
      <c r="L8" s="126" t="s">
        <v>274</v>
      </c>
      <c r="M8" s="384">
        <f t="shared" si="2"/>
        <v>0</v>
      </c>
      <c r="N8" s="1" t="s">
        <v>275</v>
      </c>
      <c r="O8" s="10"/>
      <c r="P8" s="10"/>
      <c r="Q8" s="1"/>
      <c r="R8" s="1"/>
      <c r="S8" s="1"/>
      <c r="T8" s="94"/>
      <c r="U8" s="362"/>
      <c r="V8" s="362">
        <v>1</v>
      </c>
      <c r="W8" s="365"/>
      <c r="X8" s="365"/>
      <c r="Y8" s="365"/>
      <c r="Z8" s="364"/>
      <c r="AA8" s="371"/>
      <c r="AB8" s="11"/>
      <c r="AC8" s="25" t="s">
        <v>276</v>
      </c>
      <c r="AD8" s="274" t="s">
        <v>241</v>
      </c>
      <c r="AE8" s="136" t="s">
        <v>277</v>
      </c>
      <c r="AF8" s="97" t="s">
        <v>242</v>
      </c>
      <c r="AG8" s="134" t="s">
        <v>252</v>
      </c>
      <c r="AH8" s="8"/>
      <c r="AI8" s="8"/>
      <c r="AJ8" s="87">
        <f>K8</f>
        <v>5000000</v>
      </c>
      <c r="AK8" s="8"/>
      <c r="AL8" s="8"/>
      <c r="AM8" s="8"/>
      <c r="AN8" s="47"/>
      <c r="AO8" s="8"/>
      <c r="AP8" s="8"/>
      <c r="AQ8" s="8"/>
      <c r="AR8" s="8"/>
      <c r="AS8" s="8"/>
      <c r="AT8" s="8"/>
      <c r="AU8" s="8"/>
      <c r="AV8" s="8"/>
      <c r="AW8" s="8"/>
      <c r="AX8" s="8"/>
      <c r="AY8" s="8"/>
      <c r="AZ8" s="8"/>
      <c r="BA8" s="8"/>
      <c r="BB8" s="8"/>
      <c r="BC8" s="8"/>
      <c r="BD8" s="8"/>
      <c r="BE8" s="8"/>
      <c r="BF8" s="8"/>
      <c r="BG8" s="8"/>
      <c r="BH8" s="8"/>
      <c r="BI8" s="8"/>
      <c r="BJ8" s="11"/>
      <c r="BK8" s="11"/>
      <c r="BL8" s="288" t="b">
        <f t="shared" si="3"/>
        <v>1</v>
      </c>
      <c r="BM8" s="356"/>
      <c r="BN8" s="360">
        <f t="shared" si="4"/>
        <v>0</v>
      </c>
      <c r="BO8" s="360">
        <f t="shared" si="5"/>
        <v>0</v>
      </c>
      <c r="BP8" s="360">
        <f t="shared" si="6"/>
        <v>0</v>
      </c>
      <c r="BQ8" s="360">
        <f t="shared" si="7"/>
        <v>0</v>
      </c>
      <c r="BR8" s="360">
        <f t="shared" si="8"/>
        <v>0</v>
      </c>
      <c r="BS8" s="360">
        <f t="shared" si="9"/>
        <v>0</v>
      </c>
      <c r="BT8" s="360">
        <f t="shared" si="10"/>
        <v>0</v>
      </c>
      <c r="BU8" s="360">
        <f t="shared" si="11"/>
        <v>0</v>
      </c>
      <c r="BV8" s="360">
        <f t="shared" si="12"/>
        <v>0</v>
      </c>
      <c r="BW8" s="360">
        <f t="shared" si="13"/>
        <v>0</v>
      </c>
      <c r="BX8" s="360">
        <f t="shared" si="14"/>
        <v>0</v>
      </c>
      <c r="BY8" s="360">
        <f t="shared" si="15"/>
        <v>0</v>
      </c>
      <c r="BZ8" s="360">
        <f t="shared" si="16"/>
        <v>0</v>
      </c>
      <c r="CA8" s="360">
        <f t="shared" si="17"/>
        <v>5000000</v>
      </c>
      <c r="CB8" s="360">
        <f t="shared" si="18"/>
        <v>0</v>
      </c>
      <c r="CC8" s="360">
        <f t="shared" si="19"/>
        <v>0</v>
      </c>
      <c r="CD8" s="360">
        <f t="shared" si="20"/>
        <v>0</v>
      </c>
      <c r="CE8" s="360">
        <f t="shared" si="21"/>
        <v>0</v>
      </c>
      <c r="CF8" s="360">
        <f t="shared" si="22"/>
        <v>0</v>
      </c>
      <c r="CG8" s="360">
        <f t="shared" si="23"/>
        <v>0</v>
      </c>
      <c r="CH8" s="360">
        <f t="shared" si="24"/>
        <v>0</v>
      </c>
      <c r="CI8" s="360">
        <f t="shared" si="25"/>
        <v>0</v>
      </c>
      <c r="CJ8" s="360">
        <f t="shared" si="26"/>
        <v>0</v>
      </c>
      <c r="CK8" s="360">
        <f t="shared" si="27"/>
        <v>0</v>
      </c>
      <c r="CL8" s="360">
        <f t="shared" si="28"/>
        <v>0</v>
      </c>
      <c r="CM8" s="360">
        <f t="shared" si="29"/>
        <v>0</v>
      </c>
      <c r="CN8" s="360">
        <f t="shared" si="30"/>
        <v>0</v>
      </c>
      <c r="CO8" s="360">
        <f t="shared" si="31"/>
        <v>0</v>
      </c>
      <c r="CP8" s="360">
        <f t="shared" si="32"/>
        <v>0</v>
      </c>
      <c r="CQ8" s="360">
        <f t="shared" si="33"/>
        <v>0</v>
      </c>
      <c r="CR8" s="360">
        <f t="shared" si="34"/>
        <v>0</v>
      </c>
      <c r="CS8" s="360">
        <f t="shared" si="35"/>
        <v>0</v>
      </c>
      <c r="CT8" s="360">
        <f t="shared" si="36"/>
        <v>0</v>
      </c>
      <c r="CU8" s="360">
        <f t="shared" si="37"/>
        <v>0</v>
      </c>
      <c r="CV8" s="360">
        <f t="shared" si="38"/>
        <v>0</v>
      </c>
      <c r="CW8" s="360">
        <f t="shared" si="39"/>
        <v>0</v>
      </c>
      <c r="CX8" s="360">
        <f t="shared" si="40"/>
        <v>0</v>
      </c>
      <c r="CY8" s="360">
        <f t="shared" si="41"/>
        <v>0</v>
      </c>
      <c r="CZ8" s="360">
        <f t="shared" si="42"/>
        <v>0</v>
      </c>
      <c r="DA8" s="360">
        <f t="shared" si="43"/>
        <v>0</v>
      </c>
      <c r="DB8" s="360">
        <f t="shared" si="44"/>
        <v>0</v>
      </c>
      <c r="DC8" s="360">
        <f t="shared" si="45"/>
        <v>0</v>
      </c>
      <c r="DD8" s="360">
        <f t="shared" si="46"/>
        <v>0</v>
      </c>
      <c r="DE8" s="360">
        <f t="shared" si="47"/>
        <v>0</v>
      </c>
      <c r="DF8" s="360">
        <f t="shared" si="48"/>
        <v>0</v>
      </c>
      <c r="DG8" s="360">
        <f t="shared" si="49"/>
        <v>0</v>
      </c>
      <c r="DH8" s="360">
        <f t="shared" si="50"/>
        <v>0</v>
      </c>
      <c r="DI8" s="360">
        <f t="shared" si="51"/>
        <v>0</v>
      </c>
      <c r="DJ8" s="359"/>
    </row>
    <row r="9" spans="1:191" ht="56" x14ac:dyDescent="0.3">
      <c r="A9" s="55" t="s">
        <v>278</v>
      </c>
      <c r="B9" s="136" t="s">
        <v>279</v>
      </c>
      <c r="C9" s="11" t="s">
        <v>280</v>
      </c>
      <c r="D9" s="56" t="s">
        <v>281</v>
      </c>
      <c r="E9" s="1" t="s">
        <v>233</v>
      </c>
      <c r="F9" s="94" t="s">
        <v>282</v>
      </c>
      <c r="G9" s="124">
        <v>29000000</v>
      </c>
      <c r="H9" s="126" t="s">
        <v>235</v>
      </c>
      <c r="I9" s="45">
        <v>0</v>
      </c>
      <c r="J9" s="48">
        <f t="shared" si="0"/>
        <v>29000000</v>
      </c>
      <c r="K9" s="124">
        <v>0</v>
      </c>
      <c r="L9" s="126"/>
      <c r="M9" s="129">
        <f t="shared" si="2"/>
        <v>29000000</v>
      </c>
      <c r="N9" s="1" t="s">
        <v>283</v>
      </c>
      <c r="O9" s="1"/>
      <c r="P9" s="10"/>
      <c r="Q9" s="10"/>
      <c r="R9" s="1"/>
      <c r="S9" s="1"/>
      <c r="T9" s="94"/>
      <c r="U9" s="365"/>
      <c r="V9" s="362"/>
      <c r="W9" s="362"/>
      <c r="X9" s="365"/>
      <c r="Y9" s="365"/>
      <c r="Z9" s="364"/>
      <c r="AA9" s="11" t="s">
        <v>284</v>
      </c>
      <c r="AB9" s="11" t="s">
        <v>239</v>
      </c>
      <c r="AC9" s="25" t="s">
        <v>285</v>
      </c>
      <c r="AD9" s="274" t="s">
        <v>241</v>
      </c>
      <c r="AE9" s="136"/>
      <c r="AF9" s="97" t="s">
        <v>242</v>
      </c>
      <c r="AG9" s="134" t="s">
        <v>232</v>
      </c>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11"/>
      <c r="BL9" s="288"/>
      <c r="BM9" s="356"/>
      <c r="BN9" s="360">
        <f t="shared" si="4"/>
        <v>0</v>
      </c>
      <c r="BO9" s="360">
        <f t="shared" si="5"/>
        <v>0</v>
      </c>
      <c r="BP9" s="360">
        <f t="shared" si="6"/>
        <v>0</v>
      </c>
      <c r="BQ9" s="360">
        <f t="shared" si="7"/>
        <v>0</v>
      </c>
      <c r="BR9" s="360">
        <f t="shared" si="8"/>
        <v>0</v>
      </c>
      <c r="BS9" s="360">
        <f t="shared" si="9"/>
        <v>0</v>
      </c>
      <c r="BT9" s="360">
        <f t="shared" si="10"/>
        <v>0</v>
      </c>
      <c r="BU9" s="360">
        <f t="shared" si="11"/>
        <v>0</v>
      </c>
      <c r="BV9" s="360">
        <f t="shared" si="12"/>
        <v>0</v>
      </c>
      <c r="BW9" s="360">
        <f t="shared" si="13"/>
        <v>0</v>
      </c>
      <c r="BX9" s="360">
        <f t="shared" si="14"/>
        <v>0</v>
      </c>
      <c r="BY9" s="360">
        <f t="shared" si="15"/>
        <v>0</v>
      </c>
      <c r="BZ9" s="360">
        <f t="shared" si="16"/>
        <v>0</v>
      </c>
      <c r="CA9" s="360">
        <f t="shared" si="17"/>
        <v>0</v>
      </c>
      <c r="CB9" s="360">
        <f t="shared" si="18"/>
        <v>0</v>
      </c>
      <c r="CC9" s="360">
        <f t="shared" si="19"/>
        <v>0</v>
      </c>
      <c r="CD9" s="360">
        <f t="shared" si="20"/>
        <v>0</v>
      </c>
      <c r="CE9" s="360">
        <f t="shared" si="21"/>
        <v>0</v>
      </c>
      <c r="CF9" s="360">
        <f t="shared" si="22"/>
        <v>0</v>
      </c>
      <c r="CG9" s="360">
        <f t="shared" si="23"/>
        <v>0</v>
      </c>
      <c r="CH9" s="360">
        <f t="shared" si="24"/>
        <v>0</v>
      </c>
      <c r="CI9" s="360">
        <f t="shared" si="25"/>
        <v>0</v>
      </c>
      <c r="CJ9" s="360">
        <f t="shared" si="26"/>
        <v>0</v>
      </c>
      <c r="CK9" s="360">
        <f t="shared" si="27"/>
        <v>0</v>
      </c>
      <c r="CL9" s="360">
        <f t="shared" si="28"/>
        <v>0</v>
      </c>
      <c r="CM9" s="360">
        <f t="shared" si="29"/>
        <v>0</v>
      </c>
      <c r="CN9" s="360">
        <f t="shared" si="30"/>
        <v>0</v>
      </c>
      <c r="CO9" s="360">
        <f t="shared" si="31"/>
        <v>0</v>
      </c>
      <c r="CP9" s="360">
        <f t="shared" si="32"/>
        <v>0</v>
      </c>
      <c r="CQ9" s="360">
        <f t="shared" si="33"/>
        <v>0</v>
      </c>
      <c r="CR9" s="360">
        <f t="shared" si="34"/>
        <v>0</v>
      </c>
      <c r="CS9" s="360">
        <f t="shared" si="35"/>
        <v>0</v>
      </c>
      <c r="CT9" s="360">
        <f t="shared" si="36"/>
        <v>0</v>
      </c>
      <c r="CU9" s="360">
        <f t="shared" si="37"/>
        <v>0</v>
      </c>
      <c r="CV9" s="360">
        <f t="shared" si="38"/>
        <v>0</v>
      </c>
      <c r="CW9" s="360">
        <f t="shared" si="39"/>
        <v>0</v>
      </c>
      <c r="CX9" s="360">
        <f t="shared" si="40"/>
        <v>0</v>
      </c>
      <c r="CY9" s="360">
        <f t="shared" si="41"/>
        <v>0</v>
      </c>
      <c r="CZ9" s="360">
        <f t="shared" si="42"/>
        <v>0</v>
      </c>
      <c r="DA9" s="360">
        <f t="shared" si="43"/>
        <v>0</v>
      </c>
      <c r="DB9" s="360">
        <f t="shared" si="44"/>
        <v>0</v>
      </c>
      <c r="DC9" s="360">
        <f t="shared" si="45"/>
        <v>0</v>
      </c>
      <c r="DD9" s="360">
        <f t="shared" si="46"/>
        <v>0</v>
      </c>
      <c r="DE9" s="360">
        <f t="shared" si="47"/>
        <v>0</v>
      </c>
      <c r="DF9" s="360">
        <f t="shared" si="48"/>
        <v>0</v>
      </c>
      <c r="DG9" s="360">
        <f t="shared" si="49"/>
        <v>0</v>
      </c>
      <c r="DH9" s="360">
        <f t="shared" si="50"/>
        <v>0</v>
      </c>
      <c r="DI9" s="360">
        <f t="shared" si="51"/>
        <v>0</v>
      </c>
      <c r="DJ9" s="359"/>
    </row>
    <row r="10" spans="1:191" ht="42" x14ac:dyDescent="0.3">
      <c r="A10" s="55" t="s">
        <v>286</v>
      </c>
      <c r="B10" s="136" t="s">
        <v>287</v>
      </c>
      <c r="C10" s="11" t="s">
        <v>288</v>
      </c>
      <c r="D10" s="1" t="s">
        <v>246</v>
      </c>
      <c r="E10" s="1" t="s">
        <v>289</v>
      </c>
      <c r="F10" s="94" t="s">
        <v>248</v>
      </c>
      <c r="G10" s="124">
        <v>12000000</v>
      </c>
      <c r="H10" s="126" t="s">
        <v>235</v>
      </c>
      <c r="I10" s="45">
        <v>0</v>
      </c>
      <c r="J10" s="48">
        <f t="shared" si="0"/>
        <v>12000000</v>
      </c>
      <c r="K10" s="118">
        <f t="shared" ref="K10:K16" si="52">J10</f>
        <v>12000000</v>
      </c>
      <c r="L10" s="126" t="s">
        <v>274</v>
      </c>
      <c r="M10" s="129">
        <f t="shared" si="2"/>
        <v>0</v>
      </c>
      <c r="N10" s="1" t="s">
        <v>290</v>
      </c>
      <c r="O10" s="10"/>
      <c r="P10" s="10"/>
      <c r="Q10" s="1"/>
      <c r="R10" s="1"/>
      <c r="S10" s="1"/>
      <c r="T10" s="94"/>
      <c r="U10" s="362"/>
      <c r="V10" s="362">
        <v>1</v>
      </c>
      <c r="W10" s="365"/>
      <c r="X10" s="365"/>
      <c r="Y10" s="365"/>
      <c r="Z10" s="364"/>
      <c r="AA10" s="11"/>
      <c r="AB10" s="11" t="s">
        <v>239</v>
      </c>
      <c r="AC10" s="25" t="s">
        <v>291</v>
      </c>
      <c r="AD10" s="274" t="s">
        <v>241</v>
      </c>
      <c r="AE10" s="136" t="s">
        <v>292</v>
      </c>
      <c r="AF10" s="97" t="s">
        <v>242</v>
      </c>
      <c r="AG10" s="134" t="s">
        <v>293</v>
      </c>
      <c r="AH10" s="8"/>
      <c r="AI10" s="8"/>
      <c r="AJ10" s="8"/>
      <c r="AK10" s="87">
        <f>$K$10*'[1]Apportionment %'!F5</f>
        <v>4529466.7913938258</v>
      </c>
      <c r="AL10" s="87">
        <f>$K$10*'[1]Apportionment %'!G5</f>
        <v>7470533.2086061742</v>
      </c>
      <c r="AM10" s="8"/>
      <c r="AN10" s="47"/>
      <c r="AO10" s="8"/>
      <c r="AP10" s="8"/>
      <c r="AQ10" s="8"/>
      <c r="AR10" s="8"/>
      <c r="AS10" s="8"/>
      <c r="AT10" s="8"/>
      <c r="AU10" s="8"/>
      <c r="AV10" s="8"/>
      <c r="AW10" s="8"/>
      <c r="AX10" s="8"/>
      <c r="AY10" s="8"/>
      <c r="AZ10" s="8"/>
      <c r="BA10" s="8"/>
      <c r="BB10" s="8"/>
      <c r="BC10" s="8"/>
      <c r="BD10" s="8"/>
      <c r="BE10" s="8"/>
      <c r="BF10" s="8"/>
      <c r="BG10" s="8"/>
      <c r="BH10" s="8"/>
      <c r="BI10" s="8"/>
      <c r="BJ10" s="11"/>
      <c r="BK10" s="11"/>
      <c r="BL10" s="288" t="b">
        <f t="shared" ref="BL10:BL28" si="53">K10=SUM(AH10:BJ10)</f>
        <v>1</v>
      </c>
      <c r="BM10" s="356"/>
      <c r="BN10" s="360">
        <f t="shared" si="4"/>
        <v>0</v>
      </c>
      <c r="BO10" s="360">
        <f t="shared" si="5"/>
        <v>0</v>
      </c>
      <c r="BP10" s="360">
        <f t="shared" si="6"/>
        <v>0</v>
      </c>
      <c r="BQ10" s="360">
        <f t="shared" si="7"/>
        <v>0</v>
      </c>
      <c r="BR10" s="360">
        <f t="shared" si="8"/>
        <v>0</v>
      </c>
      <c r="BS10" s="360">
        <f t="shared" si="9"/>
        <v>0</v>
      </c>
      <c r="BT10" s="360">
        <f t="shared" si="10"/>
        <v>0</v>
      </c>
      <c r="BU10" s="360">
        <f t="shared" si="11"/>
        <v>0</v>
      </c>
      <c r="BV10" s="360">
        <f t="shared" si="12"/>
        <v>0</v>
      </c>
      <c r="BW10" s="360">
        <f t="shared" si="13"/>
        <v>0</v>
      </c>
      <c r="BX10" s="360">
        <f t="shared" si="14"/>
        <v>0</v>
      </c>
      <c r="BY10" s="360">
        <f t="shared" si="15"/>
        <v>0</v>
      </c>
      <c r="BZ10" s="360">
        <f t="shared" si="16"/>
        <v>0</v>
      </c>
      <c r="CA10" s="360">
        <f t="shared" si="17"/>
        <v>0</v>
      </c>
      <c r="CB10" s="360">
        <f t="shared" si="18"/>
        <v>0</v>
      </c>
      <c r="CC10" s="360">
        <f t="shared" si="19"/>
        <v>0</v>
      </c>
      <c r="CD10" s="360">
        <f t="shared" si="20"/>
        <v>0</v>
      </c>
      <c r="CE10" s="360">
        <f t="shared" si="21"/>
        <v>0</v>
      </c>
      <c r="CF10" s="360">
        <f t="shared" si="22"/>
        <v>0</v>
      </c>
      <c r="CG10" s="360">
        <f t="shared" si="23"/>
        <v>4529466.7913938258</v>
      </c>
      <c r="CH10" s="360">
        <f t="shared" si="24"/>
        <v>0</v>
      </c>
      <c r="CI10" s="360">
        <f t="shared" si="25"/>
        <v>0</v>
      </c>
      <c r="CJ10" s="360">
        <f t="shared" si="26"/>
        <v>0</v>
      </c>
      <c r="CK10" s="360">
        <f t="shared" si="27"/>
        <v>0</v>
      </c>
      <c r="CL10" s="360">
        <f t="shared" si="28"/>
        <v>0</v>
      </c>
      <c r="CM10" s="360">
        <f t="shared" si="29"/>
        <v>7470533.2086061742</v>
      </c>
      <c r="CN10" s="360">
        <f t="shared" si="30"/>
        <v>0</v>
      </c>
      <c r="CO10" s="360">
        <f t="shared" si="31"/>
        <v>0</v>
      </c>
      <c r="CP10" s="360">
        <f t="shared" si="32"/>
        <v>0</v>
      </c>
      <c r="CQ10" s="360">
        <f t="shared" si="33"/>
        <v>0</v>
      </c>
      <c r="CR10" s="360">
        <f t="shared" si="34"/>
        <v>0</v>
      </c>
      <c r="CS10" s="360">
        <f t="shared" si="35"/>
        <v>0</v>
      </c>
      <c r="CT10" s="360">
        <f t="shared" si="36"/>
        <v>0</v>
      </c>
      <c r="CU10" s="360">
        <f t="shared" si="37"/>
        <v>0</v>
      </c>
      <c r="CV10" s="360">
        <f t="shared" si="38"/>
        <v>0</v>
      </c>
      <c r="CW10" s="360">
        <f t="shared" si="39"/>
        <v>0</v>
      </c>
      <c r="CX10" s="360">
        <f t="shared" si="40"/>
        <v>0</v>
      </c>
      <c r="CY10" s="360">
        <f t="shared" si="41"/>
        <v>0</v>
      </c>
      <c r="CZ10" s="360">
        <f t="shared" si="42"/>
        <v>0</v>
      </c>
      <c r="DA10" s="360">
        <f t="shared" si="43"/>
        <v>0</v>
      </c>
      <c r="DB10" s="360">
        <f t="shared" si="44"/>
        <v>0</v>
      </c>
      <c r="DC10" s="360">
        <f t="shared" si="45"/>
        <v>0</v>
      </c>
      <c r="DD10" s="360">
        <f t="shared" si="46"/>
        <v>0</v>
      </c>
      <c r="DE10" s="360">
        <f t="shared" si="47"/>
        <v>0</v>
      </c>
      <c r="DF10" s="360">
        <f t="shared" si="48"/>
        <v>0</v>
      </c>
      <c r="DG10" s="360">
        <f t="shared" si="49"/>
        <v>0</v>
      </c>
      <c r="DH10" s="360">
        <f t="shared" si="50"/>
        <v>0</v>
      </c>
      <c r="DI10" s="360">
        <f t="shared" si="51"/>
        <v>0</v>
      </c>
      <c r="DJ10" s="359"/>
    </row>
    <row r="11" spans="1:191" ht="42" x14ac:dyDescent="0.3">
      <c r="A11" s="55" t="s">
        <v>294</v>
      </c>
      <c r="B11" s="136" t="s">
        <v>295</v>
      </c>
      <c r="C11" s="11" t="s">
        <v>296</v>
      </c>
      <c r="D11" s="265" t="s">
        <v>297</v>
      </c>
      <c r="E11" s="1" t="s">
        <v>298</v>
      </c>
      <c r="F11" s="94" t="s">
        <v>299</v>
      </c>
      <c r="G11" s="124">
        <v>10000000</v>
      </c>
      <c r="H11" s="126" t="s">
        <v>300</v>
      </c>
      <c r="I11" s="45">
        <v>100000</v>
      </c>
      <c r="J11" s="45">
        <f t="shared" si="0"/>
        <v>9900000</v>
      </c>
      <c r="K11" s="124">
        <f t="shared" si="52"/>
        <v>9900000</v>
      </c>
      <c r="L11" s="126" t="s">
        <v>301</v>
      </c>
      <c r="M11" s="384">
        <f t="shared" si="2"/>
        <v>0</v>
      </c>
      <c r="N11" s="1" t="s">
        <v>302</v>
      </c>
      <c r="O11" s="10"/>
      <c r="P11" s="1"/>
      <c r="Q11" s="1"/>
      <c r="R11" s="1"/>
      <c r="S11" s="1"/>
      <c r="T11" s="94"/>
      <c r="U11" s="362">
        <v>1</v>
      </c>
      <c r="V11" s="365"/>
      <c r="W11" s="365"/>
      <c r="X11" s="365"/>
      <c r="Y11" s="365"/>
      <c r="Z11" s="364"/>
      <c r="AA11" s="11"/>
      <c r="AB11" s="11" t="s">
        <v>303</v>
      </c>
      <c r="AC11" s="25" t="s">
        <v>276</v>
      </c>
      <c r="AD11" s="274" t="s">
        <v>241</v>
      </c>
      <c r="AE11" s="136"/>
      <c r="AF11" s="97" t="s">
        <v>242</v>
      </c>
      <c r="AG11" s="134" t="s">
        <v>293</v>
      </c>
      <c r="AH11" s="142">
        <f>$K$11*'[1]Apportionment %'!C15</f>
        <v>424043.40376927471</v>
      </c>
      <c r="AI11" s="87">
        <f>$K$11*'[1]Apportionment %'!D15</f>
        <v>1470017.1330668188</v>
      </c>
      <c r="AJ11" s="87">
        <f>$K$11*'[1]Apportionment %'!E15</f>
        <v>593660.76527698454</v>
      </c>
      <c r="AK11" s="87">
        <f>$K$11*'[1]Apportionment %'!F15</f>
        <v>456270.70245573955</v>
      </c>
      <c r="AL11" s="87">
        <f>$K$11*'[1]Apportionment %'!G15</f>
        <v>752535.69388920616</v>
      </c>
      <c r="AM11" s="87">
        <f>$K$11*'[1]Apportionment %'!H15</f>
        <v>4805825.242718447</v>
      </c>
      <c r="AN11" s="87">
        <f>$K$11*'[1]Apportionment %'!I15</f>
        <v>848086.80753854942</v>
      </c>
      <c r="AO11" s="87">
        <f>$K$11*'[1]Apportionment %'!J15</f>
        <v>367504.2832667047</v>
      </c>
      <c r="AP11" s="87">
        <f>$K$11*'[1]Apportionment %'!K15</f>
        <v>39577.384351798974</v>
      </c>
      <c r="AQ11" s="87">
        <f>$K$11*'[1]Apportionment %'!L15</f>
        <v>39011.993146773268</v>
      </c>
      <c r="AR11" s="87">
        <f>$K$11*'[1]Apportionment %'!M15</f>
        <v>23746.430611079384</v>
      </c>
      <c r="AS11" s="87">
        <f>$K$11*'[1]Apportionment %'!N15</f>
        <v>20354.083380925185</v>
      </c>
      <c r="AT11" s="87">
        <f>$K$11*'[1]Apportionment %'!O15</f>
        <v>19788.692175899487</v>
      </c>
      <c r="AU11" s="87">
        <f>$K$11*'[1]Apportionment %'!P15</f>
        <v>19788.692175899487</v>
      </c>
      <c r="AV11" s="87">
        <f>$K$11*'[1]Apportionment %'!Q15</f>
        <v>19788.692175899487</v>
      </c>
      <c r="AW11" s="8"/>
      <c r="AX11" s="8"/>
      <c r="AY11" s="8"/>
      <c r="AZ11" s="8"/>
      <c r="BA11" s="8"/>
      <c r="BB11" s="8"/>
      <c r="BC11" s="8"/>
      <c r="BD11" s="8"/>
      <c r="BE11" s="8"/>
      <c r="BF11" s="8"/>
      <c r="BG11" s="8"/>
      <c r="BH11" s="8"/>
      <c r="BI11" s="8"/>
      <c r="BJ11" s="11"/>
      <c r="BK11" s="11"/>
      <c r="BL11" s="288" t="b">
        <f t="shared" si="53"/>
        <v>1</v>
      </c>
      <c r="BM11" s="356"/>
      <c r="BN11" s="360">
        <f t="shared" si="4"/>
        <v>424043.40376927471</v>
      </c>
      <c r="BO11" s="360">
        <f t="shared" si="5"/>
        <v>0</v>
      </c>
      <c r="BP11" s="360">
        <f t="shared" si="6"/>
        <v>0</v>
      </c>
      <c r="BQ11" s="360">
        <f t="shared" si="7"/>
        <v>0</v>
      </c>
      <c r="BR11" s="360">
        <f t="shared" si="8"/>
        <v>0</v>
      </c>
      <c r="BS11" s="360">
        <f t="shared" si="9"/>
        <v>0</v>
      </c>
      <c r="BT11" s="360">
        <f t="shared" si="10"/>
        <v>1470017.1330668188</v>
      </c>
      <c r="BU11" s="360">
        <f t="shared" si="11"/>
        <v>0</v>
      </c>
      <c r="BV11" s="360">
        <f t="shared" si="12"/>
        <v>0</v>
      </c>
      <c r="BW11" s="360">
        <f t="shared" si="13"/>
        <v>0</v>
      </c>
      <c r="BX11" s="360">
        <f t="shared" si="14"/>
        <v>0</v>
      </c>
      <c r="BY11" s="360">
        <f t="shared" si="15"/>
        <v>0</v>
      </c>
      <c r="BZ11" s="360">
        <f t="shared" si="16"/>
        <v>593660.76527698454</v>
      </c>
      <c r="CA11" s="360">
        <f t="shared" si="17"/>
        <v>0</v>
      </c>
      <c r="CB11" s="360">
        <f t="shared" si="18"/>
        <v>0</v>
      </c>
      <c r="CC11" s="360">
        <f t="shared" si="19"/>
        <v>0</v>
      </c>
      <c r="CD11" s="360">
        <f t="shared" si="20"/>
        <v>0</v>
      </c>
      <c r="CE11" s="360">
        <f t="shared" si="21"/>
        <v>0</v>
      </c>
      <c r="CF11" s="360">
        <f t="shared" si="22"/>
        <v>456270.70245573955</v>
      </c>
      <c r="CG11" s="360">
        <f t="shared" si="23"/>
        <v>0</v>
      </c>
      <c r="CH11" s="360">
        <f t="shared" si="24"/>
        <v>0</v>
      </c>
      <c r="CI11" s="360">
        <f t="shared" si="25"/>
        <v>0</v>
      </c>
      <c r="CJ11" s="360">
        <f t="shared" si="26"/>
        <v>0</v>
      </c>
      <c r="CK11" s="360">
        <f t="shared" si="27"/>
        <v>0</v>
      </c>
      <c r="CL11" s="360">
        <f t="shared" si="28"/>
        <v>752535.69388920616</v>
      </c>
      <c r="CM11" s="360">
        <f t="shared" si="29"/>
        <v>0</v>
      </c>
      <c r="CN11" s="360">
        <f t="shared" si="30"/>
        <v>0</v>
      </c>
      <c r="CO11" s="360">
        <f t="shared" si="31"/>
        <v>0</v>
      </c>
      <c r="CP11" s="360">
        <f t="shared" si="32"/>
        <v>0</v>
      </c>
      <c r="CQ11" s="360">
        <f t="shared" si="33"/>
        <v>0</v>
      </c>
      <c r="CR11" s="360">
        <f t="shared" si="34"/>
        <v>4805825.242718447</v>
      </c>
      <c r="CS11" s="360">
        <f t="shared" si="35"/>
        <v>0</v>
      </c>
      <c r="CT11" s="360">
        <f t="shared" si="36"/>
        <v>0</v>
      </c>
      <c r="CU11" s="360">
        <f t="shared" si="37"/>
        <v>0</v>
      </c>
      <c r="CV11" s="360">
        <f t="shared" si="38"/>
        <v>0</v>
      </c>
      <c r="CW11" s="360">
        <f t="shared" si="39"/>
        <v>0</v>
      </c>
      <c r="CX11" s="360">
        <f t="shared" si="40"/>
        <v>848086.80753854942</v>
      </c>
      <c r="CY11" s="360">
        <f t="shared" si="41"/>
        <v>0</v>
      </c>
      <c r="CZ11" s="360">
        <f t="shared" si="42"/>
        <v>0</v>
      </c>
      <c r="DA11" s="360">
        <f t="shared" si="43"/>
        <v>0</v>
      </c>
      <c r="DB11" s="360">
        <f t="shared" si="44"/>
        <v>0</v>
      </c>
      <c r="DC11" s="360">
        <f t="shared" si="45"/>
        <v>0</v>
      </c>
      <c r="DD11" s="360">
        <f t="shared" si="46"/>
        <v>367504.2832667047</v>
      </c>
      <c r="DE11" s="360">
        <f t="shared" si="47"/>
        <v>0</v>
      </c>
      <c r="DF11" s="360">
        <f t="shared" si="48"/>
        <v>0</v>
      </c>
      <c r="DG11" s="360">
        <f t="shared" si="49"/>
        <v>0</v>
      </c>
      <c r="DH11" s="360">
        <f t="shared" si="50"/>
        <v>0</v>
      </c>
      <c r="DI11" s="360">
        <f t="shared" si="51"/>
        <v>0</v>
      </c>
      <c r="DJ11" s="359"/>
    </row>
    <row r="12" spans="1:191" ht="28" x14ac:dyDescent="0.3">
      <c r="A12" s="55" t="s">
        <v>304</v>
      </c>
      <c r="B12" s="136" t="s">
        <v>305</v>
      </c>
      <c r="C12" s="11" t="s">
        <v>306</v>
      </c>
      <c r="D12" s="6" t="s">
        <v>232</v>
      </c>
      <c r="E12" s="1" t="s">
        <v>298</v>
      </c>
      <c r="F12" s="109" t="s">
        <v>299</v>
      </c>
      <c r="G12" s="124">
        <v>800000</v>
      </c>
      <c r="H12" s="367" t="s">
        <v>307</v>
      </c>
      <c r="I12" s="45">
        <v>800000</v>
      </c>
      <c r="J12" s="45">
        <f t="shared" si="0"/>
        <v>0</v>
      </c>
      <c r="K12" s="124">
        <f t="shared" si="52"/>
        <v>0</v>
      </c>
      <c r="L12" s="367" t="s">
        <v>236</v>
      </c>
      <c r="M12" s="384">
        <f t="shared" si="2"/>
        <v>0</v>
      </c>
      <c r="N12" s="1" t="s">
        <v>308</v>
      </c>
      <c r="O12" s="10"/>
      <c r="P12" s="1"/>
      <c r="Q12" s="1"/>
      <c r="R12" s="1"/>
      <c r="S12" s="1"/>
      <c r="T12" s="94"/>
      <c r="U12" s="362"/>
      <c r="V12" s="365"/>
      <c r="W12" s="365"/>
      <c r="X12" s="365"/>
      <c r="Y12" s="365"/>
      <c r="Z12" s="364"/>
      <c r="AA12" s="11"/>
      <c r="AB12" s="11" t="s">
        <v>309</v>
      </c>
      <c r="AC12" s="25" t="s">
        <v>276</v>
      </c>
      <c r="AD12" s="25" t="s">
        <v>232</v>
      </c>
      <c r="AE12" s="136"/>
      <c r="AF12" s="97" t="s">
        <v>242</v>
      </c>
      <c r="AG12" s="134" t="s">
        <v>232</v>
      </c>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11"/>
      <c r="BK12" s="11"/>
      <c r="BL12" s="288" t="b">
        <f t="shared" si="53"/>
        <v>1</v>
      </c>
      <c r="BM12" s="356"/>
      <c r="BN12" s="360">
        <f t="shared" si="4"/>
        <v>0</v>
      </c>
      <c r="BO12" s="360">
        <f t="shared" si="5"/>
        <v>0</v>
      </c>
      <c r="BP12" s="360">
        <f t="shared" si="6"/>
        <v>0</v>
      </c>
      <c r="BQ12" s="360">
        <f t="shared" si="7"/>
        <v>0</v>
      </c>
      <c r="BR12" s="360">
        <f t="shared" si="8"/>
        <v>0</v>
      </c>
      <c r="BS12" s="360">
        <f t="shared" si="9"/>
        <v>0</v>
      </c>
      <c r="BT12" s="360">
        <f t="shared" si="10"/>
        <v>0</v>
      </c>
      <c r="BU12" s="360">
        <f t="shared" si="11"/>
        <v>0</v>
      </c>
      <c r="BV12" s="360">
        <f t="shared" si="12"/>
        <v>0</v>
      </c>
      <c r="BW12" s="360">
        <f t="shared" si="13"/>
        <v>0</v>
      </c>
      <c r="BX12" s="360">
        <f t="shared" si="14"/>
        <v>0</v>
      </c>
      <c r="BY12" s="360">
        <f t="shared" si="15"/>
        <v>0</v>
      </c>
      <c r="BZ12" s="360">
        <f t="shared" si="16"/>
        <v>0</v>
      </c>
      <c r="CA12" s="360">
        <f t="shared" si="17"/>
        <v>0</v>
      </c>
      <c r="CB12" s="360">
        <f t="shared" si="18"/>
        <v>0</v>
      </c>
      <c r="CC12" s="360">
        <f t="shared" si="19"/>
        <v>0</v>
      </c>
      <c r="CD12" s="360">
        <f t="shared" si="20"/>
        <v>0</v>
      </c>
      <c r="CE12" s="360">
        <f t="shared" si="21"/>
        <v>0</v>
      </c>
      <c r="CF12" s="360">
        <f t="shared" si="22"/>
        <v>0</v>
      </c>
      <c r="CG12" s="360">
        <f t="shared" si="23"/>
        <v>0</v>
      </c>
      <c r="CH12" s="360">
        <f t="shared" si="24"/>
        <v>0</v>
      </c>
      <c r="CI12" s="360">
        <f t="shared" si="25"/>
        <v>0</v>
      </c>
      <c r="CJ12" s="360">
        <f t="shared" si="26"/>
        <v>0</v>
      </c>
      <c r="CK12" s="360">
        <f t="shared" si="27"/>
        <v>0</v>
      </c>
      <c r="CL12" s="360">
        <f t="shared" si="28"/>
        <v>0</v>
      </c>
      <c r="CM12" s="360">
        <f t="shared" si="29"/>
        <v>0</v>
      </c>
      <c r="CN12" s="360">
        <f t="shared" si="30"/>
        <v>0</v>
      </c>
      <c r="CO12" s="360">
        <f t="shared" si="31"/>
        <v>0</v>
      </c>
      <c r="CP12" s="360">
        <f t="shared" si="32"/>
        <v>0</v>
      </c>
      <c r="CQ12" s="360">
        <f t="shared" si="33"/>
        <v>0</v>
      </c>
      <c r="CR12" s="360">
        <f t="shared" si="34"/>
        <v>0</v>
      </c>
      <c r="CS12" s="360">
        <f t="shared" si="35"/>
        <v>0</v>
      </c>
      <c r="CT12" s="360">
        <f t="shared" si="36"/>
        <v>0</v>
      </c>
      <c r="CU12" s="360">
        <f t="shared" si="37"/>
        <v>0</v>
      </c>
      <c r="CV12" s="360">
        <f t="shared" si="38"/>
        <v>0</v>
      </c>
      <c r="CW12" s="360">
        <f t="shared" si="39"/>
        <v>0</v>
      </c>
      <c r="CX12" s="360">
        <f t="shared" si="40"/>
        <v>0</v>
      </c>
      <c r="CY12" s="360">
        <f t="shared" si="41"/>
        <v>0</v>
      </c>
      <c r="CZ12" s="360">
        <f t="shared" si="42"/>
        <v>0</v>
      </c>
      <c r="DA12" s="360">
        <f t="shared" si="43"/>
        <v>0</v>
      </c>
      <c r="DB12" s="360">
        <f t="shared" si="44"/>
        <v>0</v>
      </c>
      <c r="DC12" s="360">
        <f t="shared" si="45"/>
        <v>0</v>
      </c>
      <c r="DD12" s="360">
        <f t="shared" si="46"/>
        <v>0</v>
      </c>
      <c r="DE12" s="360">
        <f t="shared" si="47"/>
        <v>0</v>
      </c>
      <c r="DF12" s="360">
        <f t="shared" si="48"/>
        <v>0</v>
      </c>
      <c r="DG12" s="360">
        <f t="shared" si="49"/>
        <v>0</v>
      </c>
      <c r="DH12" s="360">
        <f t="shared" si="50"/>
        <v>0</v>
      </c>
      <c r="DI12" s="360">
        <f t="shared" si="51"/>
        <v>0</v>
      </c>
      <c r="DJ12" s="359"/>
    </row>
    <row r="13" spans="1:191" ht="28" x14ac:dyDescent="0.3">
      <c r="A13" s="55" t="s">
        <v>310</v>
      </c>
      <c r="B13" s="136" t="s">
        <v>311</v>
      </c>
      <c r="C13" s="11" t="s">
        <v>312</v>
      </c>
      <c r="D13" s="6" t="s">
        <v>232</v>
      </c>
      <c r="E13" s="1" t="s">
        <v>298</v>
      </c>
      <c r="F13" s="109" t="s">
        <v>299</v>
      </c>
      <c r="G13" s="124">
        <v>200000</v>
      </c>
      <c r="H13" s="367" t="s">
        <v>307</v>
      </c>
      <c r="I13" s="45">
        <v>200000</v>
      </c>
      <c r="J13" s="45">
        <f t="shared" si="0"/>
        <v>0</v>
      </c>
      <c r="K13" s="124">
        <f t="shared" si="52"/>
        <v>0</v>
      </c>
      <c r="L13" s="367" t="s">
        <v>236</v>
      </c>
      <c r="M13" s="384">
        <f t="shared" si="2"/>
        <v>0</v>
      </c>
      <c r="N13" s="1" t="s">
        <v>308</v>
      </c>
      <c r="O13" s="10"/>
      <c r="P13" s="1"/>
      <c r="Q13" s="1"/>
      <c r="R13" s="1"/>
      <c r="S13" s="1"/>
      <c r="T13" s="94"/>
      <c r="U13" s="362"/>
      <c r="V13" s="365"/>
      <c r="W13" s="365"/>
      <c r="X13" s="365"/>
      <c r="Y13" s="365"/>
      <c r="Z13" s="364"/>
      <c r="AA13" s="11"/>
      <c r="AB13" s="11" t="s">
        <v>309</v>
      </c>
      <c r="AC13" s="25" t="s">
        <v>276</v>
      </c>
      <c r="AD13" s="25" t="s">
        <v>232</v>
      </c>
      <c r="AE13" s="136"/>
      <c r="AF13" s="97" t="s">
        <v>242</v>
      </c>
      <c r="AG13" s="134" t="s">
        <v>232</v>
      </c>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11"/>
      <c r="BK13" s="11"/>
      <c r="BL13" s="288" t="b">
        <f t="shared" si="53"/>
        <v>1</v>
      </c>
      <c r="BM13" s="356"/>
      <c r="BN13" s="360">
        <f t="shared" si="4"/>
        <v>0</v>
      </c>
      <c r="BO13" s="360">
        <f t="shared" si="5"/>
        <v>0</v>
      </c>
      <c r="BP13" s="360">
        <f t="shared" si="6"/>
        <v>0</v>
      </c>
      <c r="BQ13" s="360">
        <f t="shared" si="7"/>
        <v>0</v>
      </c>
      <c r="BR13" s="360">
        <f t="shared" si="8"/>
        <v>0</v>
      </c>
      <c r="BS13" s="360">
        <f t="shared" si="9"/>
        <v>0</v>
      </c>
      <c r="BT13" s="360">
        <f t="shared" si="10"/>
        <v>0</v>
      </c>
      <c r="BU13" s="360">
        <f t="shared" si="11"/>
        <v>0</v>
      </c>
      <c r="BV13" s="360">
        <f t="shared" si="12"/>
        <v>0</v>
      </c>
      <c r="BW13" s="360">
        <f t="shared" si="13"/>
        <v>0</v>
      </c>
      <c r="BX13" s="360">
        <f t="shared" si="14"/>
        <v>0</v>
      </c>
      <c r="BY13" s="360">
        <f t="shared" si="15"/>
        <v>0</v>
      </c>
      <c r="BZ13" s="360">
        <f t="shared" si="16"/>
        <v>0</v>
      </c>
      <c r="CA13" s="360">
        <f t="shared" si="17"/>
        <v>0</v>
      </c>
      <c r="CB13" s="360">
        <f t="shared" si="18"/>
        <v>0</v>
      </c>
      <c r="CC13" s="360">
        <f t="shared" si="19"/>
        <v>0</v>
      </c>
      <c r="CD13" s="360">
        <f t="shared" si="20"/>
        <v>0</v>
      </c>
      <c r="CE13" s="360">
        <f t="shared" si="21"/>
        <v>0</v>
      </c>
      <c r="CF13" s="360">
        <f t="shared" si="22"/>
        <v>0</v>
      </c>
      <c r="CG13" s="360">
        <f t="shared" si="23"/>
        <v>0</v>
      </c>
      <c r="CH13" s="360">
        <f t="shared" si="24"/>
        <v>0</v>
      </c>
      <c r="CI13" s="360">
        <f t="shared" si="25"/>
        <v>0</v>
      </c>
      <c r="CJ13" s="360">
        <f t="shared" si="26"/>
        <v>0</v>
      </c>
      <c r="CK13" s="360">
        <f t="shared" si="27"/>
        <v>0</v>
      </c>
      <c r="CL13" s="360">
        <f t="shared" si="28"/>
        <v>0</v>
      </c>
      <c r="CM13" s="360">
        <f t="shared" si="29"/>
        <v>0</v>
      </c>
      <c r="CN13" s="360">
        <f t="shared" si="30"/>
        <v>0</v>
      </c>
      <c r="CO13" s="360">
        <f t="shared" si="31"/>
        <v>0</v>
      </c>
      <c r="CP13" s="360">
        <f t="shared" si="32"/>
        <v>0</v>
      </c>
      <c r="CQ13" s="360">
        <f t="shared" si="33"/>
        <v>0</v>
      </c>
      <c r="CR13" s="360">
        <f t="shared" si="34"/>
        <v>0</v>
      </c>
      <c r="CS13" s="360">
        <f t="shared" si="35"/>
        <v>0</v>
      </c>
      <c r="CT13" s="360">
        <f t="shared" si="36"/>
        <v>0</v>
      </c>
      <c r="CU13" s="360">
        <f t="shared" si="37"/>
        <v>0</v>
      </c>
      <c r="CV13" s="360">
        <f t="shared" si="38"/>
        <v>0</v>
      </c>
      <c r="CW13" s="360">
        <f t="shared" si="39"/>
        <v>0</v>
      </c>
      <c r="CX13" s="360">
        <f t="shared" si="40"/>
        <v>0</v>
      </c>
      <c r="CY13" s="360">
        <f t="shared" si="41"/>
        <v>0</v>
      </c>
      <c r="CZ13" s="360">
        <f t="shared" si="42"/>
        <v>0</v>
      </c>
      <c r="DA13" s="360">
        <f t="shared" si="43"/>
        <v>0</v>
      </c>
      <c r="DB13" s="360">
        <f t="shared" si="44"/>
        <v>0</v>
      </c>
      <c r="DC13" s="360">
        <f t="shared" si="45"/>
        <v>0</v>
      </c>
      <c r="DD13" s="360">
        <f t="shared" si="46"/>
        <v>0</v>
      </c>
      <c r="DE13" s="360">
        <f t="shared" si="47"/>
        <v>0</v>
      </c>
      <c r="DF13" s="360">
        <f t="shared" si="48"/>
        <v>0</v>
      </c>
      <c r="DG13" s="360">
        <f t="shared" si="49"/>
        <v>0</v>
      </c>
      <c r="DH13" s="360">
        <f t="shared" si="50"/>
        <v>0</v>
      </c>
      <c r="DI13" s="360">
        <f t="shared" si="51"/>
        <v>0</v>
      </c>
      <c r="DJ13" s="359"/>
    </row>
    <row r="14" spans="1:191" ht="28" x14ac:dyDescent="0.3">
      <c r="A14" s="55" t="s">
        <v>313</v>
      </c>
      <c r="B14" s="136" t="s">
        <v>314</v>
      </c>
      <c r="C14" s="11" t="s">
        <v>315</v>
      </c>
      <c r="D14" s="6" t="s">
        <v>232</v>
      </c>
      <c r="E14" s="1" t="s">
        <v>298</v>
      </c>
      <c r="F14" s="109" t="s">
        <v>299</v>
      </c>
      <c r="G14" s="124">
        <v>100000</v>
      </c>
      <c r="H14" s="367" t="s">
        <v>307</v>
      </c>
      <c r="I14" s="45">
        <v>100000</v>
      </c>
      <c r="J14" s="45">
        <f t="shared" si="0"/>
        <v>0</v>
      </c>
      <c r="K14" s="124">
        <f t="shared" si="52"/>
        <v>0</v>
      </c>
      <c r="L14" s="367" t="s">
        <v>236</v>
      </c>
      <c r="M14" s="384">
        <f t="shared" si="2"/>
        <v>0</v>
      </c>
      <c r="N14" s="1" t="s">
        <v>316</v>
      </c>
      <c r="O14" s="369"/>
      <c r="P14" s="10"/>
      <c r="Q14" s="1"/>
      <c r="R14" s="1"/>
      <c r="S14" s="1"/>
      <c r="T14" s="94"/>
      <c r="U14" s="368"/>
      <c r="V14" s="362"/>
      <c r="W14" s="365"/>
      <c r="X14" s="365"/>
      <c r="Y14" s="365"/>
      <c r="Z14" s="364"/>
      <c r="AA14" s="11"/>
      <c r="AB14" s="11" t="s">
        <v>309</v>
      </c>
      <c r="AC14" s="25" t="s">
        <v>276</v>
      </c>
      <c r="AD14" s="25" t="s">
        <v>232</v>
      </c>
      <c r="AE14" s="136"/>
      <c r="AF14" s="97" t="s">
        <v>242</v>
      </c>
      <c r="AG14" s="134" t="s">
        <v>232</v>
      </c>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11"/>
      <c r="BK14" s="11"/>
      <c r="BL14" s="288" t="b">
        <f t="shared" si="53"/>
        <v>1</v>
      </c>
      <c r="BM14" s="356"/>
      <c r="BN14" s="360">
        <f t="shared" si="4"/>
        <v>0</v>
      </c>
      <c r="BO14" s="360">
        <f t="shared" si="5"/>
        <v>0</v>
      </c>
      <c r="BP14" s="360">
        <f t="shared" si="6"/>
        <v>0</v>
      </c>
      <c r="BQ14" s="360">
        <f t="shared" si="7"/>
        <v>0</v>
      </c>
      <c r="BR14" s="360">
        <f t="shared" si="8"/>
        <v>0</v>
      </c>
      <c r="BS14" s="360">
        <f t="shared" si="9"/>
        <v>0</v>
      </c>
      <c r="BT14" s="360">
        <f t="shared" si="10"/>
        <v>0</v>
      </c>
      <c r="BU14" s="360">
        <f t="shared" si="11"/>
        <v>0</v>
      </c>
      <c r="BV14" s="360">
        <f t="shared" si="12"/>
        <v>0</v>
      </c>
      <c r="BW14" s="360">
        <f t="shared" si="13"/>
        <v>0</v>
      </c>
      <c r="BX14" s="360">
        <f t="shared" si="14"/>
        <v>0</v>
      </c>
      <c r="BY14" s="360">
        <f t="shared" si="15"/>
        <v>0</v>
      </c>
      <c r="BZ14" s="360">
        <f t="shared" si="16"/>
        <v>0</v>
      </c>
      <c r="CA14" s="360">
        <f t="shared" si="17"/>
        <v>0</v>
      </c>
      <c r="CB14" s="360">
        <f t="shared" si="18"/>
        <v>0</v>
      </c>
      <c r="CC14" s="360">
        <f t="shared" si="19"/>
        <v>0</v>
      </c>
      <c r="CD14" s="360">
        <f t="shared" si="20"/>
        <v>0</v>
      </c>
      <c r="CE14" s="360">
        <f t="shared" si="21"/>
        <v>0</v>
      </c>
      <c r="CF14" s="360">
        <f t="shared" si="22"/>
        <v>0</v>
      </c>
      <c r="CG14" s="360">
        <f t="shared" si="23"/>
        <v>0</v>
      </c>
      <c r="CH14" s="360">
        <f t="shared" si="24"/>
        <v>0</v>
      </c>
      <c r="CI14" s="360">
        <f t="shared" si="25"/>
        <v>0</v>
      </c>
      <c r="CJ14" s="360">
        <f t="shared" si="26"/>
        <v>0</v>
      </c>
      <c r="CK14" s="360">
        <f t="shared" si="27"/>
        <v>0</v>
      </c>
      <c r="CL14" s="360">
        <f t="shared" si="28"/>
        <v>0</v>
      </c>
      <c r="CM14" s="360">
        <f t="shared" si="29"/>
        <v>0</v>
      </c>
      <c r="CN14" s="360">
        <f t="shared" si="30"/>
        <v>0</v>
      </c>
      <c r="CO14" s="360">
        <f t="shared" si="31"/>
        <v>0</v>
      </c>
      <c r="CP14" s="360">
        <f t="shared" si="32"/>
        <v>0</v>
      </c>
      <c r="CQ14" s="360">
        <f t="shared" si="33"/>
        <v>0</v>
      </c>
      <c r="CR14" s="360">
        <f t="shared" si="34"/>
        <v>0</v>
      </c>
      <c r="CS14" s="360">
        <f t="shared" si="35"/>
        <v>0</v>
      </c>
      <c r="CT14" s="360">
        <f t="shared" si="36"/>
        <v>0</v>
      </c>
      <c r="CU14" s="360">
        <f t="shared" si="37"/>
        <v>0</v>
      </c>
      <c r="CV14" s="360">
        <f t="shared" si="38"/>
        <v>0</v>
      </c>
      <c r="CW14" s="360">
        <f t="shared" si="39"/>
        <v>0</v>
      </c>
      <c r="CX14" s="360">
        <f t="shared" si="40"/>
        <v>0</v>
      </c>
      <c r="CY14" s="360">
        <f t="shared" si="41"/>
        <v>0</v>
      </c>
      <c r="CZ14" s="360">
        <f t="shared" si="42"/>
        <v>0</v>
      </c>
      <c r="DA14" s="360">
        <f t="shared" si="43"/>
        <v>0</v>
      </c>
      <c r="DB14" s="360">
        <f t="shared" si="44"/>
        <v>0</v>
      </c>
      <c r="DC14" s="360">
        <f t="shared" si="45"/>
        <v>0</v>
      </c>
      <c r="DD14" s="360">
        <f t="shared" si="46"/>
        <v>0</v>
      </c>
      <c r="DE14" s="360">
        <f t="shared" si="47"/>
        <v>0</v>
      </c>
      <c r="DF14" s="360">
        <f t="shared" si="48"/>
        <v>0</v>
      </c>
      <c r="DG14" s="360">
        <f t="shared" si="49"/>
        <v>0</v>
      </c>
      <c r="DH14" s="360">
        <f t="shared" si="50"/>
        <v>0</v>
      </c>
      <c r="DI14" s="360">
        <f t="shared" si="51"/>
        <v>0</v>
      </c>
      <c r="DJ14" s="359"/>
    </row>
    <row r="15" spans="1:191" ht="42" x14ac:dyDescent="0.3">
      <c r="A15" s="55" t="s">
        <v>317</v>
      </c>
      <c r="B15" s="136" t="s">
        <v>318</v>
      </c>
      <c r="C15" s="49" t="s">
        <v>319</v>
      </c>
      <c r="D15" s="6" t="s">
        <v>232</v>
      </c>
      <c r="E15" s="1" t="s">
        <v>298</v>
      </c>
      <c r="F15" s="109" t="s">
        <v>320</v>
      </c>
      <c r="G15" s="124">
        <v>10000000</v>
      </c>
      <c r="H15" s="367" t="s">
        <v>307</v>
      </c>
      <c r="I15" s="45">
        <v>10000000</v>
      </c>
      <c r="J15" s="45">
        <f t="shared" si="0"/>
        <v>0</v>
      </c>
      <c r="K15" s="124">
        <f t="shared" si="52"/>
        <v>0</v>
      </c>
      <c r="L15" s="367" t="s">
        <v>236</v>
      </c>
      <c r="M15" s="384">
        <f t="shared" si="2"/>
        <v>0</v>
      </c>
      <c r="N15" s="1" t="s">
        <v>308</v>
      </c>
      <c r="O15" s="10"/>
      <c r="P15" s="1"/>
      <c r="Q15" s="1"/>
      <c r="R15" s="1"/>
      <c r="S15" s="1"/>
      <c r="T15" s="94"/>
      <c r="U15" s="362"/>
      <c r="V15" s="365"/>
      <c r="W15" s="365"/>
      <c r="X15" s="365"/>
      <c r="Y15" s="365"/>
      <c r="Z15" s="364"/>
      <c r="AA15" s="11"/>
      <c r="AB15" s="11" t="s">
        <v>309</v>
      </c>
      <c r="AC15" s="25" t="s">
        <v>276</v>
      </c>
      <c r="AD15" s="25" t="s">
        <v>232</v>
      </c>
      <c r="AE15" s="136"/>
      <c r="AF15" s="97" t="s">
        <v>242</v>
      </c>
      <c r="AG15" s="134" t="s">
        <v>232</v>
      </c>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11"/>
      <c r="BK15" s="11"/>
      <c r="BL15" s="288" t="b">
        <f t="shared" si="53"/>
        <v>1</v>
      </c>
      <c r="BM15" s="356"/>
      <c r="BN15" s="360">
        <f t="shared" si="4"/>
        <v>0</v>
      </c>
      <c r="BO15" s="360">
        <f t="shared" si="5"/>
        <v>0</v>
      </c>
      <c r="BP15" s="360">
        <f t="shared" si="6"/>
        <v>0</v>
      </c>
      <c r="BQ15" s="360">
        <f t="shared" si="7"/>
        <v>0</v>
      </c>
      <c r="BR15" s="360">
        <f t="shared" si="8"/>
        <v>0</v>
      </c>
      <c r="BS15" s="360">
        <f t="shared" si="9"/>
        <v>0</v>
      </c>
      <c r="BT15" s="360">
        <f t="shared" si="10"/>
        <v>0</v>
      </c>
      <c r="BU15" s="360">
        <f t="shared" si="11"/>
        <v>0</v>
      </c>
      <c r="BV15" s="360">
        <f t="shared" si="12"/>
        <v>0</v>
      </c>
      <c r="BW15" s="360">
        <f t="shared" si="13"/>
        <v>0</v>
      </c>
      <c r="BX15" s="360">
        <f t="shared" si="14"/>
        <v>0</v>
      </c>
      <c r="BY15" s="360">
        <f t="shared" si="15"/>
        <v>0</v>
      </c>
      <c r="BZ15" s="360">
        <f t="shared" si="16"/>
        <v>0</v>
      </c>
      <c r="CA15" s="360">
        <f t="shared" si="17"/>
        <v>0</v>
      </c>
      <c r="CB15" s="360">
        <f t="shared" si="18"/>
        <v>0</v>
      </c>
      <c r="CC15" s="360">
        <f t="shared" si="19"/>
        <v>0</v>
      </c>
      <c r="CD15" s="360">
        <f t="shared" si="20"/>
        <v>0</v>
      </c>
      <c r="CE15" s="360">
        <f t="shared" si="21"/>
        <v>0</v>
      </c>
      <c r="CF15" s="360">
        <f t="shared" si="22"/>
        <v>0</v>
      </c>
      <c r="CG15" s="360">
        <f t="shared" si="23"/>
        <v>0</v>
      </c>
      <c r="CH15" s="360">
        <f t="shared" si="24"/>
        <v>0</v>
      </c>
      <c r="CI15" s="360">
        <f t="shared" si="25"/>
        <v>0</v>
      </c>
      <c r="CJ15" s="360">
        <f t="shared" si="26"/>
        <v>0</v>
      </c>
      <c r="CK15" s="360">
        <f t="shared" si="27"/>
        <v>0</v>
      </c>
      <c r="CL15" s="360">
        <f t="shared" si="28"/>
        <v>0</v>
      </c>
      <c r="CM15" s="360">
        <f t="shared" si="29"/>
        <v>0</v>
      </c>
      <c r="CN15" s="360">
        <f t="shared" si="30"/>
        <v>0</v>
      </c>
      <c r="CO15" s="360">
        <f t="shared" si="31"/>
        <v>0</v>
      </c>
      <c r="CP15" s="360">
        <f t="shared" si="32"/>
        <v>0</v>
      </c>
      <c r="CQ15" s="360">
        <f t="shared" si="33"/>
        <v>0</v>
      </c>
      <c r="CR15" s="360">
        <f t="shared" si="34"/>
        <v>0</v>
      </c>
      <c r="CS15" s="360">
        <f t="shared" si="35"/>
        <v>0</v>
      </c>
      <c r="CT15" s="360">
        <f t="shared" si="36"/>
        <v>0</v>
      </c>
      <c r="CU15" s="360">
        <f t="shared" si="37"/>
        <v>0</v>
      </c>
      <c r="CV15" s="360">
        <f t="shared" si="38"/>
        <v>0</v>
      </c>
      <c r="CW15" s="360">
        <f t="shared" si="39"/>
        <v>0</v>
      </c>
      <c r="CX15" s="360">
        <f t="shared" si="40"/>
        <v>0</v>
      </c>
      <c r="CY15" s="360">
        <f t="shared" si="41"/>
        <v>0</v>
      </c>
      <c r="CZ15" s="360">
        <f t="shared" si="42"/>
        <v>0</v>
      </c>
      <c r="DA15" s="360">
        <f t="shared" si="43"/>
        <v>0</v>
      </c>
      <c r="DB15" s="360">
        <f t="shared" si="44"/>
        <v>0</v>
      </c>
      <c r="DC15" s="360">
        <f t="shared" si="45"/>
        <v>0</v>
      </c>
      <c r="DD15" s="360">
        <f t="shared" si="46"/>
        <v>0</v>
      </c>
      <c r="DE15" s="360">
        <f t="shared" si="47"/>
        <v>0</v>
      </c>
      <c r="DF15" s="360">
        <f t="shared" si="48"/>
        <v>0</v>
      </c>
      <c r="DG15" s="360">
        <f t="shared" si="49"/>
        <v>0</v>
      </c>
      <c r="DH15" s="360">
        <f t="shared" si="50"/>
        <v>0</v>
      </c>
      <c r="DI15" s="360">
        <f t="shared" si="51"/>
        <v>0</v>
      </c>
      <c r="DJ15" s="359"/>
    </row>
    <row r="16" spans="1:191" ht="28" x14ac:dyDescent="0.3">
      <c r="A16" s="55" t="s">
        <v>321</v>
      </c>
      <c r="B16" s="137" t="s">
        <v>322</v>
      </c>
      <c r="C16" s="49" t="s">
        <v>323</v>
      </c>
      <c r="D16" s="56" t="s">
        <v>281</v>
      </c>
      <c r="E16" s="1" t="s">
        <v>298</v>
      </c>
      <c r="F16" s="109" t="s">
        <v>299</v>
      </c>
      <c r="G16" s="118">
        <v>250000</v>
      </c>
      <c r="H16" s="126" t="s">
        <v>307</v>
      </c>
      <c r="I16" s="48">
        <v>250000</v>
      </c>
      <c r="J16" s="48">
        <f t="shared" si="0"/>
        <v>0</v>
      </c>
      <c r="K16" s="118">
        <f t="shared" si="52"/>
        <v>0</v>
      </c>
      <c r="L16" s="126" t="s">
        <v>236</v>
      </c>
      <c r="M16" s="129">
        <f t="shared" si="2"/>
        <v>0</v>
      </c>
      <c r="N16" s="1" t="s">
        <v>308</v>
      </c>
      <c r="O16" s="10"/>
      <c r="P16" s="1"/>
      <c r="Q16" s="1"/>
      <c r="R16" s="1"/>
      <c r="S16" s="1"/>
      <c r="T16" s="94"/>
      <c r="U16" s="362"/>
      <c r="V16" s="365"/>
      <c r="W16" s="365"/>
      <c r="X16" s="365"/>
      <c r="Y16" s="365"/>
      <c r="Z16" s="364"/>
      <c r="AA16" s="11"/>
      <c r="AB16" s="11" t="s">
        <v>309</v>
      </c>
      <c r="AC16" s="25" t="s">
        <v>276</v>
      </c>
      <c r="AD16" s="25" t="s">
        <v>232</v>
      </c>
      <c r="AE16" s="136"/>
      <c r="AF16" s="97" t="s">
        <v>242</v>
      </c>
      <c r="AG16" s="134" t="s">
        <v>232</v>
      </c>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11"/>
      <c r="BK16" s="11"/>
      <c r="BL16" s="288" t="b">
        <f t="shared" si="53"/>
        <v>1</v>
      </c>
      <c r="BM16" s="356"/>
      <c r="BN16" s="360">
        <f t="shared" si="4"/>
        <v>0</v>
      </c>
      <c r="BO16" s="360">
        <f t="shared" si="5"/>
        <v>0</v>
      </c>
      <c r="BP16" s="360">
        <f t="shared" si="6"/>
        <v>0</v>
      </c>
      <c r="BQ16" s="360">
        <f t="shared" si="7"/>
        <v>0</v>
      </c>
      <c r="BR16" s="360">
        <f t="shared" si="8"/>
        <v>0</v>
      </c>
      <c r="BS16" s="360">
        <f t="shared" si="9"/>
        <v>0</v>
      </c>
      <c r="BT16" s="360">
        <f t="shared" si="10"/>
        <v>0</v>
      </c>
      <c r="BU16" s="360">
        <f t="shared" si="11"/>
        <v>0</v>
      </c>
      <c r="BV16" s="360">
        <f t="shared" si="12"/>
        <v>0</v>
      </c>
      <c r="BW16" s="360">
        <f t="shared" si="13"/>
        <v>0</v>
      </c>
      <c r="BX16" s="360">
        <f t="shared" si="14"/>
        <v>0</v>
      </c>
      <c r="BY16" s="360">
        <f t="shared" si="15"/>
        <v>0</v>
      </c>
      <c r="BZ16" s="360">
        <f t="shared" si="16"/>
        <v>0</v>
      </c>
      <c r="CA16" s="360">
        <f t="shared" si="17"/>
        <v>0</v>
      </c>
      <c r="CB16" s="360">
        <f t="shared" si="18"/>
        <v>0</v>
      </c>
      <c r="CC16" s="360">
        <f t="shared" si="19"/>
        <v>0</v>
      </c>
      <c r="CD16" s="360">
        <f t="shared" si="20"/>
        <v>0</v>
      </c>
      <c r="CE16" s="360">
        <f t="shared" si="21"/>
        <v>0</v>
      </c>
      <c r="CF16" s="360">
        <f t="shared" si="22"/>
        <v>0</v>
      </c>
      <c r="CG16" s="360">
        <f t="shared" si="23"/>
        <v>0</v>
      </c>
      <c r="CH16" s="360">
        <f t="shared" si="24"/>
        <v>0</v>
      </c>
      <c r="CI16" s="360">
        <f t="shared" si="25"/>
        <v>0</v>
      </c>
      <c r="CJ16" s="360">
        <f t="shared" si="26"/>
        <v>0</v>
      </c>
      <c r="CK16" s="360">
        <f t="shared" si="27"/>
        <v>0</v>
      </c>
      <c r="CL16" s="360">
        <f t="shared" si="28"/>
        <v>0</v>
      </c>
      <c r="CM16" s="360">
        <f t="shared" si="29"/>
        <v>0</v>
      </c>
      <c r="CN16" s="360">
        <f t="shared" si="30"/>
        <v>0</v>
      </c>
      <c r="CO16" s="360">
        <f t="shared" si="31"/>
        <v>0</v>
      </c>
      <c r="CP16" s="360">
        <f t="shared" si="32"/>
        <v>0</v>
      </c>
      <c r="CQ16" s="360">
        <f t="shared" si="33"/>
        <v>0</v>
      </c>
      <c r="CR16" s="360">
        <f t="shared" si="34"/>
        <v>0</v>
      </c>
      <c r="CS16" s="360">
        <f t="shared" si="35"/>
        <v>0</v>
      </c>
      <c r="CT16" s="360">
        <f t="shared" si="36"/>
        <v>0</v>
      </c>
      <c r="CU16" s="360">
        <f t="shared" si="37"/>
        <v>0</v>
      </c>
      <c r="CV16" s="360">
        <f t="shared" si="38"/>
        <v>0</v>
      </c>
      <c r="CW16" s="360">
        <f t="shared" si="39"/>
        <v>0</v>
      </c>
      <c r="CX16" s="360">
        <f t="shared" si="40"/>
        <v>0</v>
      </c>
      <c r="CY16" s="360">
        <f t="shared" si="41"/>
        <v>0</v>
      </c>
      <c r="CZ16" s="360">
        <f t="shared" si="42"/>
        <v>0</v>
      </c>
      <c r="DA16" s="360">
        <f t="shared" si="43"/>
        <v>0</v>
      </c>
      <c r="DB16" s="360">
        <f t="shared" si="44"/>
        <v>0</v>
      </c>
      <c r="DC16" s="360">
        <f t="shared" si="45"/>
        <v>0</v>
      </c>
      <c r="DD16" s="360">
        <f t="shared" si="46"/>
        <v>0</v>
      </c>
      <c r="DE16" s="360">
        <f t="shared" si="47"/>
        <v>0</v>
      </c>
      <c r="DF16" s="360">
        <f t="shared" si="48"/>
        <v>0</v>
      </c>
      <c r="DG16" s="360">
        <f t="shared" si="49"/>
        <v>0</v>
      </c>
      <c r="DH16" s="360">
        <f t="shared" si="50"/>
        <v>0</v>
      </c>
      <c r="DI16" s="360">
        <f t="shared" si="51"/>
        <v>0</v>
      </c>
      <c r="DJ16" s="359"/>
    </row>
    <row r="17" spans="1:191" ht="28" x14ac:dyDescent="0.3">
      <c r="A17" s="55" t="s">
        <v>324</v>
      </c>
      <c r="B17" s="137"/>
      <c r="C17" s="49" t="s">
        <v>325</v>
      </c>
      <c r="D17" s="56" t="s">
        <v>281</v>
      </c>
      <c r="E17" s="1" t="s">
        <v>298</v>
      </c>
      <c r="F17" s="109" t="s">
        <v>299</v>
      </c>
      <c r="G17" s="118">
        <v>4000000</v>
      </c>
      <c r="H17" s="126" t="s">
        <v>235</v>
      </c>
      <c r="I17" s="48">
        <v>0</v>
      </c>
      <c r="J17" s="48">
        <f t="shared" si="0"/>
        <v>4000000</v>
      </c>
      <c r="K17" s="118">
        <v>0</v>
      </c>
      <c r="L17" s="126" t="s">
        <v>326</v>
      </c>
      <c r="M17" s="129">
        <f t="shared" si="2"/>
        <v>4000000</v>
      </c>
      <c r="N17" s="1" t="s">
        <v>308</v>
      </c>
      <c r="O17" s="10"/>
      <c r="P17" s="1"/>
      <c r="Q17" s="1"/>
      <c r="R17" s="1"/>
      <c r="S17" s="1"/>
      <c r="T17" s="94"/>
      <c r="U17" s="362"/>
      <c r="V17" s="365"/>
      <c r="W17" s="365"/>
      <c r="X17" s="365"/>
      <c r="Y17" s="365"/>
      <c r="Z17" s="364"/>
      <c r="AA17" s="50" t="s">
        <v>327</v>
      </c>
      <c r="AB17" s="11"/>
      <c r="AC17" s="25"/>
      <c r="AD17" s="25"/>
      <c r="AE17" s="136"/>
      <c r="AF17" s="97"/>
      <c r="AG17" s="134"/>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11"/>
      <c r="BK17" s="11"/>
      <c r="BL17" s="288" t="b">
        <f t="shared" si="53"/>
        <v>1</v>
      </c>
      <c r="BM17" s="356"/>
      <c r="BN17" s="360">
        <f t="shared" si="4"/>
        <v>0</v>
      </c>
      <c r="BO17" s="360">
        <f t="shared" si="5"/>
        <v>0</v>
      </c>
      <c r="BP17" s="360">
        <f t="shared" si="6"/>
        <v>0</v>
      </c>
      <c r="BQ17" s="360">
        <f t="shared" si="7"/>
        <v>0</v>
      </c>
      <c r="BR17" s="360">
        <f t="shared" si="8"/>
        <v>0</v>
      </c>
      <c r="BS17" s="360">
        <f t="shared" si="9"/>
        <v>0</v>
      </c>
      <c r="BT17" s="360">
        <f t="shared" si="10"/>
        <v>0</v>
      </c>
      <c r="BU17" s="360">
        <f t="shared" si="11"/>
        <v>0</v>
      </c>
      <c r="BV17" s="360">
        <f t="shared" si="12"/>
        <v>0</v>
      </c>
      <c r="BW17" s="360">
        <f t="shared" si="13"/>
        <v>0</v>
      </c>
      <c r="BX17" s="360">
        <f t="shared" si="14"/>
        <v>0</v>
      </c>
      <c r="BY17" s="360">
        <f t="shared" si="15"/>
        <v>0</v>
      </c>
      <c r="BZ17" s="360">
        <f t="shared" si="16"/>
        <v>0</v>
      </c>
      <c r="CA17" s="360">
        <f t="shared" si="17"/>
        <v>0</v>
      </c>
      <c r="CB17" s="360">
        <f t="shared" si="18"/>
        <v>0</v>
      </c>
      <c r="CC17" s="360">
        <f t="shared" si="19"/>
        <v>0</v>
      </c>
      <c r="CD17" s="360">
        <f t="shared" si="20"/>
        <v>0</v>
      </c>
      <c r="CE17" s="360">
        <f t="shared" si="21"/>
        <v>0</v>
      </c>
      <c r="CF17" s="360">
        <f t="shared" si="22"/>
        <v>0</v>
      </c>
      <c r="CG17" s="360">
        <f t="shared" si="23"/>
        <v>0</v>
      </c>
      <c r="CH17" s="360">
        <f t="shared" si="24"/>
        <v>0</v>
      </c>
      <c r="CI17" s="360">
        <f t="shared" si="25"/>
        <v>0</v>
      </c>
      <c r="CJ17" s="360">
        <f t="shared" si="26"/>
        <v>0</v>
      </c>
      <c r="CK17" s="360">
        <f t="shared" si="27"/>
        <v>0</v>
      </c>
      <c r="CL17" s="360">
        <f t="shared" si="28"/>
        <v>0</v>
      </c>
      <c r="CM17" s="360">
        <f t="shared" si="29"/>
        <v>0</v>
      </c>
      <c r="CN17" s="360">
        <f t="shared" si="30"/>
        <v>0</v>
      </c>
      <c r="CO17" s="360">
        <f t="shared" si="31"/>
        <v>0</v>
      </c>
      <c r="CP17" s="360">
        <f t="shared" si="32"/>
        <v>0</v>
      </c>
      <c r="CQ17" s="360">
        <f t="shared" si="33"/>
        <v>0</v>
      </c>
      <c r="CR17" s="360">
        <f t="shared" si="34"/>
        <v>0</v>
      </c>
      <c r="CS17" s="360">
        <f t="shared" si="35"/>
        <v>0</v>
      </c>
      <c r="CT17" s="360">
        <f t="shared" si="36"/>
        <v>0</v>
      </c>
      <c r="CU17" s="360">
        <f t="shared" si="37"/>
        <v>0</v>
      </c>
      <c r="CV17" s="360">
        <f t="shared" si="38"/>
        <v>0</v>
      </c>
      <c r="CW17" s="360">
        <f t="shared" si="39"/>
        <v>0</v>
      </c>
      <c r="CX17" s="360">
        <f t="shared" si="40"/>
        <v>0</v>
      </c>
      <c r="CY17" s="360">
        <f t="shared" si="41"/>
        <v>0</v>
      </c>
      <c r="CZ17" s="360">
        <f t="shared" si="42"/>
        <v>0</v>
      </c>
      <c r="DA17" s="360">
        <f t="shared" si="43"/>
        <v>0</v>
      </c>
      <c r="DB17" s="360">
        <f t="shared" si="44"/>
        <v>0</v>
      </c>
      <c r="DC17" s="360">
        <f t="shared" si="45"/>
        <v>0</v>
      </c>
      <c r="DD17" s="360">
        <f t="shared" si="46"/>
        <v>0</v>
      </c>
      <c r="DE17" s="360">
        <f t="shared" si="47"/>
        <v>0</v>
      </c>
      <c r="DF17" s="360">
        <f t="shared" si="48"/>
        <v>0</v>
      </c>
      <c r="DG17" s="360">
        <f t="shared" si="49"/>
        <v>0</v>
      </c>
      <c r="DH17" s="360">
        <f t="shared" si="50"/>
        <v>0</v>
      </c>
      <c r="DI17" s="360">
        <f t="shared" si="51"/>
        <v>0</v>
      </c>
      <c r="DJ17" s="359"/>
    </row>
    <row r="18" spans="1:191" ht="84" x14ac:dyDescent="0.3">
      <c r="A18" s="55" t="s">
        <v>328</v>
      </c>
      <c r="B18" s="136" t="s">
        <v>329</v>
      </c>
      <c r="C18" s="49" t="s">
        <v>330</v>
      </c>
      <c r="D18" s="56" t="s">
        <v>281</v>
      </c>
      <c r="E18" s="1" t="s">
        <v>298</v>
      </c>
      <c r="F18" s="94" t="s">
        <v>299</v>
      </c>
      <c r="G18" s="124">
        <v>7000000</v>
      </c>
      <c r="H18" s="126" t="s">
        <v>235</v>
      </c>
      <c r="I18" s="45">
        <v>0</v>
      </c>
      <c r="J18" s="45">
        <f t="shared" si="0"/>
        <v>7000000</v>
      </c>
      <c r="K18" s="118">
        <f t="shared" ref="K18:K26" si="54">J18</f>
        <v>7000000</v>
      </c>
      <c r="L18" s="126" t="s">
        <v>331</v>
      </c>
      <c r="M18" s="384">
        <f t="shared" si="2"/>
        <v>0</v>
      </c>
      <c r="N18" s="1" t="s">
        <v>316</v>
      </c>
      <c r="O18" s="1"/>
      <c r="P18" s="10"/>
      <c r="Q18" s="1"/>
      <c r="R18" s="1"/>
      <c r="S18" s="1"/>
      <c r="T18" s="94"/>
      <c r="U18" s="365"/>
      <c r="V18" s="362">
        <v>1</v>
      </c>
      <c r="W18" s="365"/>
      <c r="X18" s="365"/>
      <c r="Y18" s="365"/>
      <c r="Z18" s="364"/>
      <c r="AA18" s="11"/>
      <c r="AB18" s="11" t="s">
        <v>309</v>
      </c>
      <c r="AC18" s="25" t="s">
        <v>276</v>
      </c>
      <c r="AD18" s="274" t="s">
        <v>241</v>
      </c>
      <c r="AE18" s="136"/>
      <c r="AF18" s="97" t="s">
        <v>242</v>
      </c>
      <c r="AG18" s="134" t="s">
        <v>293</v>
      </c>
      <c r="AH18" s="8"/>
      <c r="AI18" s="8"/>
      <c r="AJ18" s="8"/>
      <c r="AK18" s="87">
        <f>$K$18*'[2]Apportionment %'!F5</f>
        <v>2666487.0689655175</v>
      </c>
      <c r="AL18" s="87">
        <f>$K$18*'[2]Apportionment %'!G5</f>
        <v>4333512.931034483</v>
      </c>
      <c r="AM18" s="8"/>
      <c r="AN18" s="8"/>
      <c r="AO18" s="8"/>
      <c r="AP18" s="8"/>
      <c r="AQ18" s="8"/>
      <c r="AR18" s="8"/>
      <c r="AS18" s="8"/>
      <c r="AT18" s="8"/>
      <c r="AU18" s="8"/>
      <c r="AV18" s="8"/>
      <c r="AW18" s="8"/>
      <c r="AX18" s="8"/>
      <c r="AY18" s="8"/>
      <c r="AZ18" s="8"/>
      <c r="BA18" s="8"/>
      <c r="BB18" s="8"/>
      <c r="BC18" s="8"/>
      <c r="BD18" s="8"/>
      <c r="BE18" s="8"/>
      <c r="BF18" s="8"/>
      <c r="BG18" s="8"/>
      <c r="BH18" s="8"/>
      <c r="BI18" s="8"/>
      <c r="BJ18" s="11"/>
      <c r="BK18" s="11"/>
      <c r="BL18" s="288" t="b">
        <f t="shared" si="53"/>
        <v>1</v>
      </c>
      <c r="BM18" s="356"/>
      <c r="BN18" s="360">
        <f t="shared" si="4"/>
        <v>0</v>
      </c>
      <c r="BO18" s="360">
        <f t="shared" si="5"/>
        <v>0</v>
      </c>
      <c r="BP18" s="360">
        <f t="shared" si="6"/>
        <v>0</v>
      </c>
      <c r="BQ18" s="360">
        <f t="shared" si="7"/>
        <v>0</v>
      </c>
      <c r="BR18" s="360">
        <f t="shared" si="8"/>
        <v>0</v>
      </c>
      <c r="BS18" s="360">
        <f t="shared" si="9"/>
        <v>0</v>
      </c>
      <c r="BT18" s="360">
        <f t="shared" si="10"/>
        <v>0</v>
      </c>
      <c r="BU18" s="360">
        <f t="shared" si="11"/>
        <v>0</v>
      </c>
      <c r="BV18" s="360">
        <f t="shared" si="12"/>
        <v>0</v>
      </c>
      <c r="BW18" s="360">
        <f t="shared" si="13"/>
        <v>0</v>
      </c>
      <c r="BX18" s="360">
        <f t="shared" si="14"/>
        <v>0</v>
      </c>
      <c r="BY18" s="360">
        <f t="shared" si="15"/>
        <v>0</v>
      </c>
      <c r="BZ18" s="360">
        <f t="shared" si="16"/>
        <v>0</v>
      </c>
      <c r="CA18" s="360">
        <f t="shared" si="17"/>
        <v>0</v>
      </c>
      <c r="CB18" s="360">
        <f t="shared" si="18"/>
        <v>0</v>
      </c>
      <c r="CC18" s="360">
        <f t="shared" si="19"/>
        <v>0</v>
      </c>
      <c r="CD18" s="360">
        <f t="shared" si="20"/>
        <v>0</v>
      </c>
      <c r="CE18" s="360">
        <f t="shared" si="21"/>
        <v>0</v>
      </c>
      <c r="CF18" s="360">
        <f t="shared" si="22"/>
        <v>0</v>
      </c>
      <c r="CG18" s="360">
        <f t="shared" si="23"/>
        <v>2666487.0689655175</v>
      </c>
      <c r="CH18" s="360">
        <f t="shared" si="24"/>
        <v>0</v>
      </c>
      <c r="CI18" s="360">
        <f t="shared" si="25"/>
        <v>0</v>
      </c>
      <c r="CJ18" s="360">
        <f t="shared" si="26"/>
        <v>0</v>
      </c>
      <c r="CK18" s="360">
        <f t="shared" si="27"/>
        <v>0</v>
      </c>
      <c r="CL18" s="360">
        <f t="shared" si="28"/>
        <v>0</v>
      </c>
      <c r="CM18" s="360">
        <f t="shared" si="29"/>
        <v>4333512.931034483</v>
      </c>
      <c r="CN18" s="360">
        <f t="shared" si="30"/>
        <v>0</v>
      </c>
      <c r="CO18" s="360">
        <f t="shared" si="31"/>
        <v>0</v>
      </c>
      <c r="CP18" s="360">
        <f t="shared" si="32"/>
        <v>0</v>
      </c>
      <c r="CQ18" s="360">
        <f t="shared" si="33"/>
        <v>0</v>
      </c>
      <c r="CR18" s="360">
        <f t="shared" si="34"/>
        <v>0</v>
      </c>
      <c r="CS18" s="360">
        <f t="shared" si="35"/>
        <v>0</v>
      </c>
      <c r="CT18" s="360">
        <f t="shared" si="36"/>
        <v>0</v>
      </c>
      <c r="CU18" s="360">
        <f t="shared" si="37"/>
        <v>0</v>
      </c>
      <c r="CV18" s="360">
        <f t="shared" si="38"/>
        <v>0</v>
      </c>
      <c r="CW18" s="360">
        <f t="shared" si="39"/>
        <v>0</v>
      </c>
      <c r="CX18" s="360">
        <f t="shared" si="40"/>
        <v>0</v>
      </c>
      <c r="CY18" s="360">
        <f t="shared" si="41"/>
        <v>0</v>
      </c>
      <c r="CZ18" s="360">
        <f t="shared" si="42"/>
        <v>0</v>
      </c>
      <c r="DA18" s="360">
        <f t="shared" si="43"/>
        <v>0</v>
      </c>
      <c r="DB18" s="360">
        <f t="shared" si="44"/>
        <v>0</v>
      </c>
      <c r="DC18" s="360">
        <f t="shared" si="45"/>
        <v>0</v>
      </c>
      <c r="DD18" s="360">
        <f t="shared" si="46"/>
        <v>0</v>
      </c>
      <c r="DE18" s="360">
        <f t="shared" si="47"/>
        <v>0</v>
      </c>
      <c r="DF18" s="360">
        <f t="shared" si="48"/>
        <v>0</v>
      </c>
      <c r="DG18" s="360">
        <f t="shared" si="49"/>
        <v>0</v>
      </c>
      <c r="DH18" s="360">
        <f t="shared" si="50"/>
        <v>0</v>
      </c>
      <c r="DI18" s="360">
        <f t="shared" si="51"/>
        <v>0</v>
      </c>
      <c r="DJ18" s="359"/>
    </row>
    <row r="19" spans="1:191" ht="28" x14ac:dyDescent="0.35">
      <c r="A19" s="55" t="s">
        <v>332</v>
      </c>
      <c r="B19" s="136"/>
      <c r="C19" s="11" t="s">
        <v>333</v>
      </c>
      <c r="D19" s="56" t="s">
        <v>281</v>
      </c>
      <c r="E19" s="1" t="s">
        <v>298</v>
      </c>
      <c r="F19" s="109" t="s">
        <v>299</v>
      </c>
      <c r="G19" s="118">
        <v>7000000</v>
      </c>
      <c r="H19" s="126" t="s">
        <v>235</v>
      </c>
      <c r="I19" s="48">
        <v>0</v>
      </c>
      <c r="J19" s="48">
        <f t="shared" si="0"/>
        <v>7000000</v>
      </c>
      <c r="K19" s="118">
        <f t="shared" si="54"/>
        <v>7000000</v>
      </c>
      <c r="L19" s="385"/>
      <c r="M19" s="129">
        <f t="shared" si="2"/>
        <v>0</v>
      </c>
      <c r="N19" s="1" t="s">
        <v>334</v>
      </c>
      <c r="O19" s="10"/>
      <c r="P19" s="10"/>
      <c r="Q19" s="10"/>
      <c r="R19" s="1"/>
      <c r="S19" s="1"/>
      <c r="T19" s="94"/>
      <c r="U19" s="362"/>
      <c r="V19" s="362">
        <v>1</v>
      </c>
      <c r="W19" s="362"/>
      <c r="X19" s="365"/>
      <c r="Y19" s="365"/>
      <c r="Z19" s="364"/>
      <c r="AA19" s="1" t="s">
        <v>335</v>
      </c>
      <c r="AB19" s="11" t="s">
        <v>336</v>
      </c>
      <c r="AC19" s="25" t="s">
        <v>337</v>
      </c>
      <c r="AD19" s="274" t="s">
        <v>241</v>
      </c>
      <c r="AE19" s="136"/>
      <c r="AF19" s="97" t="s">
        <v>242</v>
      </c>
      <c r="AG19" s="134" t="s">
        <v>293</v>
      </c>
      <c r="AH19" s="8"/>
      <c r="AI19" s="8"/>
      <c r="AJ19" s="8"/>
      <c r="AK19" s="8"/>
      <c r="AL19" s="8"/>
      <c r="AM19" s="87">
        <f>$K$19*'[2]Apportionment %'!H9</f>
        <v>5950000</v>
      </c>
      <c r="AN19" s="87">
        <f>$K$19*'[2]Apportionment %'!I9</f>
        <v>1050000</v>
      </c>
      <c r="AO19" s="8"/>
      <c r="AP19" s="8"/>
      <c r="AQ19" s="8"/>
      <c r="AR19" s="8"/>
      <c r="AS19" s="8"/>
      <c r="AT19" s="8"/>
      <c r="AU19" s="8"/>
      <c r="AV19" s="8"/>
      <c r="AW19" s="8"/>
      <c r="AX19" s="8"/>
      <c r="AY19" s="8"/>
      <c r="AZ19" s="8"/>
      <c r="BA19" s="8"/>
      <c r="BB19" s="8"/>
      <c r="BC19" s="8"/>
      <c r="BD19" s="8"/>
      <c r="BE19" s="8"/>
      <c r="BF19" s="8"/>
      <c r="BG19" s="8"/>
      <c r="BH19" s="8"/>
      <c r="BI19" s="8"/>
      <c r="BJ19" s="11"/>
      <c r="BK19" s="11"/>
      <c r="BL19" s="288" t="b">
        <f t="shared" si="53"/>
        <v>1</v>
      </c>
      <c r="BN19" s="360">
        <f t="shared" si="4"/>
        <v>0</v>
      </c>
      <c r="BO19" s="360">
        <f t="shared" si="5"/>
        <v>0</v>
      </c>
      <c r="BP19" s="360">
        <f t="shared" si="6"/>
        <v>0</v>
      </c>
      <c r="BQ19" s="360">
        <f t="shared" si="7"/>
        <v>0</v>
      </c>
      <c r="BR19" s="360">
        <f t="shared" si="8"/>
        <v>0</v>
      </c>
      <c r="BS19" s="360">
        <f t="shared" si="9"/>
        <v>0</v>
      </c>
      <c r="BT19" s="360">
        <f t="shared" si="10"/>
        <v>0</v>
      </c>
      <c r="BU19" s="360">
        <f t="shared" si="11"/>
        <v>0</v>
      </c>
      <c r="BV19" s="360">
        <f t="shared" si="12"/>
        <v>0</v>
      </c>
      <c r="BW19" s="360">
        <f t="shared" si="13"/>
        <v>0</v>
      </c>
      <c r="BX19" s="360">
        <f t="shared" si="14"/>
        <v>0</v>
      </c>
      <c r="BY19" s="360">
        <f t="shared" si="15"/>
        <v>0</v>
      </c>
      <c r="BZ19" s="360">
        <f t="shared" si="16"/>
        <v>0</v>
      </c>
      <c r="CA19" s="360">
        <f t="shared" si="17"/>
        <v>0</v>
      </c>
      <c r="CB19" s="360">
        <f t="shared" si="18"/>
        <v>0</v>
      </c>
      <c r="CC19" s="360">
        <f t="shared" si="19"/>
        <v>0</v>
      </c>
      <c r="CD19" s="360">
        <f t="shared" si="20"/>
        <v>0</v>
      </c>
      <c r="CE19" s="360">
        <f t="shared" si="21"/>
        <v>0</v>
      </c>
      <c r="CF19" s="360">
        <f t="shared" si="22"/>
        <v>0</v>
      </c>
      <c r="CG19" s="360">
        <f t="shared" si="23"/>
        <v>0</v>
      </c>
      <c r="CH19" s="360">
        <f t="shared" si="24"/>
        <v>0</v>
      </c>
      <c r="CI19" s="360">
        <f t="shared" si="25"/>
        <v>0</v>
      </c>
      <c r="CJ19" s="360">
        <f t="shared" si="26"/>
        <v>0</v>
      </c>
      <c r="CK19" s="360">
        <f t="shared" si="27"/>
        <v>0</v>
      </c>
      <c r="CL19" s="360">
        <f t="shared" si="28"/>
        <v>0</v>
      </c>
      <c r="CM19" s="360">
        <f t="shared" si="29"/>
        <v>0</v>
      </c>
      <c r="CN19" s="360">
        <f t="shared" si="30"/>
        <v>0</v>
      </c>
      <c r="CO19" s="360">
        <f t="shared" si="31"/>
        <v>0</v>
      </c>
      <c r="CP19" s="360">
        <f t="shared" si="32"/>
        <v>0</v>
      </c>
      <c r="CQ19" s="360">
        <f t="shared" si="33"/>
        <v>0</v>
      </c>
      <c r="CR19" s="360">
        <f t="shared" si="34"/>
        <v>0</v>
      </c>
      <c r="CS19" s="360">
        <f t="shared" si="35"/>
        <v>5950000</v>
      </c>
      <c r="CT19" s="360">
        <f t="shared" si="36"/>
        <v>0</v>
      </c>
      <c r="CU19" s="360">
        <f t="shared" si="37"/>
        <v>0</v>
      </c>
      <c r="CV19" s="360">
        <f t="shared" si="38"/>
        <v>0</v>
      </c>
      <c r="CW19" s="360">
        <f t="shared" si="39"/>
        <v>0</v>
      </c>
      <c r="CX19" s="360">
        <f t="shared" si="40"/>
        <v>0</v>
      </c>
      <c r="CY19" s="360">
        <f t="shared" si="41"/>
        <v>1050000</v>
      </c>
      <c r="CZ19" s="360">
        <f t="shared" si="42"/>
        <v>0</v>
      </c>
      <c r="DA19" s="360">
        <f t="shared" si="43"/>
        <v>0</v>
      </c>
      <c r="DB19" s="360">
        <f t="shared" si="44"/>
        <v>0</v>
      </c>
      <c r="DC19" s="360">
        <f t="shared" si="45"/>
        <v>0</v>
      </c>
      <c r="DD19" s="360">
        <f t="shared" si="46"/>
        <v>0</v>
      </c>
      <c r="DE19" s="360">
        <f t="shared" si="47"/>
        <v>0</v>
      </c>
      <c r="DF19" s="360">
        <f t="shared" si="48"/>
        <v>0</v>
      </c>
      <c r="DG19" s="360">
        <f t="shared" si="49"/>
        <v>0</v>
      </c>
      <c r="DH19" s="360">
        <f t="shared" si="50"/>
        <v>0</v>
      </c>
      <c r="DI19" s="360">
        <f t="shared" si="51"/>
        <v>0</v>
      </c>
      <c r="DJ19" s="359"/>
    </row>
    <row r="20" spans="1:191" ht="70" x14ac:dyDescent="0.35">
      <c r="A20" s="55" t="s">
        <v>338</v>
      </c>
      <c r="B20" s="136"/>
      <c r="C20" s="11" t="s">
        <v>339</v>
      </c>
      <c r="D20" s="1" t="s">
        <v>246</v>
      </c>
      <c r="E20" s="1" t="s">
        <v>340</v>
      </c>
      <c r="F20" s="109" t="s">
        <v>341</v>
      </c>
      <c r="G20" s="118">
        <v>4200000</v>
      </c>
      <c r="H20" s="126" t="s">
        <v>342</v>
      </c>
      <c r="I20" s="45">
        <v>0</v>
      </c>
      <c r="J20" s="45">
        <f t="shared" si="0"/>
        <v>4200000</v>
      </c>
      <c r="K20" s="118">
        <f t="shared" si="54"/>
        <v>4200000</v>
      </c>
      <c r="L20" s="116" t="s">
        <v>343</v>
      </c>
      <c r="M20" s="384">
        <f t="shared" si="2"/>
        <v>0</v>
      </c>
      <c r="N20" s="1" t="s">
        <v>334</v>
      </c>
      <c r="O20" s="10"/>
      <c r="P20" s="10"/>
      <c r="Q20" s="10"/>
      <c r="R20" s="1"/>
      <c r="S20" s="1"/>
      <c r="T20" s="94"/>
      <c r="U20" s="362"/>
      <c r="V20" s="362"/>
      <c r="W20" s="362">
        <v>1</v>
      </c>
      <c r="X20" s="365"/>
      <c r="Y20" s="365"/>
      <c r="Z20" s="364"/>
      <c r="AA20" s="11" t="s">
        <v>344</v>
      </c>
      <c r="AB20" s="11" t="s">
        <v>336</v>
      </c>
      <c r="AC20" s="25" t="s">
        <v>345</v>
      </c>
      <c r="AD20" s="275" t="s">
        <v>346</v>
      </c>
      <c r="AE20" s="136"/>
      <c r="AF20" s="97" t="s">
        <v>242</v>
      </c>
      <c r="AG20" s="134" t="s">
        <v>293</v>
      </c>
      <c r="AH20" s="8"/>
      <c r="AI20" s="8"/>
      <c r="AJ20" s="8"/>
      <c r="AK20" s="8"/>
      <c r="AL20" s="8"/>
      <c r="AM20" s="87">
        <f>$K$20*'[2]Apportionment %'!H$9</f>
        <v>3570000</v>
      </c>
      <c r="AN20" s="87">
        <f>$K$20*'[2]Apportionment %'!I$9</f>
        <v>630000</v>
      </c>
      <c r="AO20" s="8"/>
      <c r="AP20" s="8"/>
      <c r="AQ20" s="8"/>
      <c r="AR20" s="8"/>
      <c r="AS20" s="8"/>
      <c r="AT20" s="8"/>
      <c r="AU20" s="8"/>
      <c r="AV20" s="8"/>
      <c r="AW20" s="8"/>
      <c r="AX20" s="8"/>
      <c r="AY20" s="8"/>
      <c r="AZ20" s="8"/>
      <c r="BA20" s="8"/>
      <c r="BB20" s="8"/>
      <c r="BC20" s="8"/>
      <c r="BD20" s="8"/>
      <c r="BE20" s="8"/>
      <c r="BF20" s="8"/>
      <c r="BG20" s="8"/>
      <c r="BH20" s="8"/>
      <c r="BI20" s="8"/>
      <c r="BJ20" s="11"/>
      <c r="BK20" s="11"/>
      <c r="BL20" s="288" t="b">
        <f t="shared" si="53"/>
        <v>1</v>
      </c>
      <c r="BN20" s="360">
        <f t="shared" si="4"/>
        <v>0</v>
      </c>
      <c r="BO20" s="360">
        <f t="shared" si="5"/>
        <v>0</v>
      </c>
      <c r="BP20" s="360">
        <f t="shared" si="6"/>
        <v>0</v>
      </c>
      <c r="BQ20" s="360">
        <f t="shared" si="7"/>
        <v>0</v>
      </c>
      <c r="BR20" s="360">
        <f t="shared" si="8"/>
        <v>0</v>
      </c>
      <c r="BS20" s="360">
        <f t="shared" si="9"/>
        <v>0</v>
      </c>
      <c r="BT20" s="360">
        <f t="shared" si="10"/>
        <v>0</v>
      </c>
      <c r="BU20" s="360">
        <f t="shared" si="11"/>
        <v>0</v>
      </c>
      <c r="BV20" s="360">
        <f t="shared" si="12"/>
        <v>0</v>
      </c>
      <c r="BW20" s="360">
        <f t="shared" si="13"/>
        <v>0</v>
      </c>
      <c r="BX20" s="360">
        <f t="shared" si="14"/>
        <v>0</v>
      </c>
      <c r="BY20" s="360">
        <f t="shared" si="15"/>
        <v>0</v>
      </c>
      <c r="BZ20" s="360">
        <f t="shared" si="16"/>
        <v>0</v>
      </c>
      <c r="CA20" s="360">
        <f t="shared" si="17"/>
        <v>0</v>
      </c>
      <c r="CB20" s="360">
        <f t="shared" si="18"/>
        <v>0</v>
      </c>
      <c r="CC20" s="360">
        <f t="shared" si="19"/>
        <v>0</v>
      </c>
      <c r="CD20" s="360">
        <f t="shared" si="20"/>
        <v>0</v>
      </c>
      <c r="CE20" s="360">
        <f t="shared" si="21"/>
        <v>0</v>
      </c>
      <c r="CF20" s="360">
        <f t="shared" si="22"/>
        <v>0</v>
      </c>
      <c r="CG20" s="360">
        <f t="shared" si="23"/>
        <v>0</v>
      </c>
      <c r="CH20" s="360">
        <f t="shared" si="24"/>
        <v>0</v>
      </c>
      <c r="CI20" s="360">
        <f t="shared" si="25"/>
        <v>0</v>
      </c>
      <c r="CJ20" s="360">
        <f t="shared" si="26"/>
        <v>0</v>
      </c>
      <c r="CK20" s="360">
        <f t="shared" si="27"/>
        <v>0</v>
      </c>
      <c r="CL20" s="360">
        <f t="shared" si="28"/>
        <v>0</v>
      </c>
      <c r="CM20" s="360">
        <f t="shared" si="29"/>
        <v>0</v>
      </c>
      <c r="CN20" s="360">
        <f t="shared" si="30"/>
        <v>0</v>
      </c>
      <c r="CO20" s="360">
        <f t="shared" si="31"/>
        <v>0</v>
      </c>
      <c r="CP20" s="360">
        <f t="shared" si="32"/>
        <v>0</v>
      </c>
      <c r="CQ20" s="360">
        <f t="shared" si="33"/>
        <v>0</v>
      </c>
      <c r="CR20" s="360">
        <f t="shared" si="34"/>
        <v>0</v>
      </c>
      <c r="CS20" s="360">
        <f t="shared" si="35"/>
        <v>0</v>
      </c>
      <c r="CT20" s="360">
        <f t="shared" si="36"/>
        <v>3570000</v>
      </c>
      <c r="CU20" s="360">
        <f t="shared" si="37"/>
        <v>0</v>
      </c>
      <c r="CV20" s="360">
        <f t="shared" si="38"/>
        <v>0</v>
      </c>
      <c r="CW20" s="360">
        <f t="shared" si="39"/>
        <v>0</v>
      </c>
      <c r="CX20" s="360">
        <f t="shared" si="40"/>
        <v>0</v>
      </c>
      <c r="CY20" s="360">
        <f t="shared" si="41"/>
        <v>0</v>
      </c>
      <c r="CZ20" s="360">
        <f t="shared" si="42"/>
        <v>630000</v>
      </c>
      <c r="DA20" s="360">
        <f t="shared" si="43"/>
        <v>0</v>
      </c>
      <c r="DB20" s="360">
        <f t="shared" si="44"/>
        <v>0</v>
      </c>
      <c r="DC20" s="360">
        <f t="shared" si="45"/>
        <v>0</v>
      </c>
      <c r="DD20" s="360">
        <f t="shared" si="46"/>
        <v>0</v>
      </c>
      <c r="DE20" s="360">
        <f t="shared" si="47"/>
        <v>0</v>
      </c>
      <c r="DF20" s="360">
        <f t="shared" si="48"/>
        <v>0</v>
      </c>
      <c r="DG20" s="360">
        <f t="shared" si="49"/>
        <v>0</v>
      </c>
      <c r="DH20" s="360">
        <f t="shared" si="50"/>
        <v>0</v>
      </c>
      <c r="DI20" s="360">
        <f t="shared" si="51"/>
        <v>0</v>
      </c>
      <c r="DJ20" s="359"/>
    </row>
    <row r="21" spans="1:191" ht="176.25" customHeight="1" x14ac:dyDescent="0.35">
      <c r="A21" s="55" t="s">
        <v>347</v>
      </c>
      <c r="B21" s="136"/>
      <c r="C21" s="11" t="s">
        <v>348</v>
      </c>
      <c r="D21" s="1" t="s">
        <v>246</v>
      </c>
      <c r="E21" s="1" t="s">
        <v>349</v>
      </c>
      <c r="F21" s="109" t="s">
        <v>350</v>
      </c>
      <c r="G21" s="118">
        <v>36200000</v>
      </c>
      <c r="H21" s="126" t="s">
        <v>351</v>
      </c>
      <c r="I21" s="45">
        <v>0</v>
      </c>
      <c r="J21" s="45">
        <f t="shared" si="0"/>
        <v>36200000</v>
      </c>
      <c r="K21" s="118">
        <f t="shared" si="54"/>
        <v>36200000</v>
      </c>
      <c r="L21" s="116" t="s">
        <v>352</v>
      </c>
      <c r="M21" s="384">
        <f t="shared" si="2"/>
        <v>0</v>
      </c>
      <c r="N21" s="1" t="s">
        <v>302</v>
      </c>
      <c r="O21" s="10"/>
      <c r="P21" s="1"/>
      <c r="Q21" s="1"/>
      <c r="R21" s="1"/>
      <c r="S21" s="1"/>
      <c r="T21" s="94"/>
      <c r="U21" s="362">
        <v>1</v>
      </c>
      <c r="V21" s="365"/>
      <c r="W21" s="365"/>
      <c r="X21" s="365"/>
      <c r="Y21" s="365"/>
      <c r="Z21" s="364"/>
      <c r="AA21" s="11" t="s">
        <v>353</v>
      </c>
      <c r="AB21" s="1"/>
      <c r="AC21" s="25" t="s">
        <v>337</v>
      </c>
      <c r="AD21" s="275" t="s">
        <v>346</v>
      </c>
      <c r="AE21" s="383"/>
      <c r="AF21" s="181" t="s">
        <v>257</v>
      </c>
      <c r="AG21" s="134" t="s">
        <v>268</v>
      </c>
      <c r="AH21" s="8"/>
      <c r="AI21" s="8"/>
      <c r="AJ21" s="8"/>
      <c r="AK21" s="8"/>
      <c r="AL21" s="8"/>
      <c r="AM21" s="87">
        <f>$K$21*'[2]Apportionment %'!H$9</f>
        <v>30770000</v>
      </c>
      <c r="AN21" s="87">
        <f>$K$21*'[2]Apportionment %'!I$9</f>
        <v>5430000</v>
      </c>
      <c r="AO21" s="8"/>
      <c r="AP21" s="8"/>
      <c r="AQ21" s="8"/>
      <c r="AR21" s="8"/>
      <c r="AS21" s="8"/>
      <c r="AT21" s="8"/>
      <c r="AU21" s="8"/>
      <c r="AV21" s="8"/>
      <c r="AW21" s="8"/>
      <c r="AX21" s="8"/>
      <c r="AY21" s="8"/>
      <c r="AZ21" s="8"/>
      <c r="BA21" s="8"/>
      <c r="BB21" s="8"/>
      <c r="BC21" s="8"/>
      <c r="BD21" s="8"/>
      <c r="BE21" s="8"/>
      <c r="BF21" s="8"/>
      <c r="BG21" s="8"/>
      <c r="BH21" s="8"/>
      <c r="BI21" s="8"/>
      <c r="BJ21" s="11"/>
      <c r="BK21" s="11"/>
      <c r="BL21" s="288" t="b">
        <f t="shared" si="53"/>
        <v>1</v>
      </c>
      <c r="BN21" s="360">
        <f t="shared" si="4"/>
        <v>0</v>
      </c>
      <c r="BO21" s="360">
        <f t="shared" si="5"/>
        <v>0</v>
      </c>
      <c r="BP21" s="360">
        <f t="shared" si="6"/>
        <v>0</v>
      </c>
      <c r="BQ21" s="360">
        <f t="shared" si="7"/>
        <v>0</v>
      </c>
      <c r="BR21" s="360">
        <f t="shared" si="8"/>
        <v>0</v>
      </c>
      <c r="BS21" s="360">
        <f t="shared" si="9"/>
        <v>0</v>
      </c>
      <c r="BT21" s="360">
        <f t="shared" si="10"/>
        <v>0</v>
      </c>
      <c r="BU21" s="360">
        <f t="shared" si="11"/>
        <v>0</v>
      </c>
      <c r="BV21" s="360">
        <f t="shared" si="12"/>
        <v>0</v>
      </c>
      <c r="BW21" s="360">
        <f t="shared" si="13"/>
        <v>0</v>
      </c>
      <c r="BX21" s="360">
        <f t="shared" si="14"/>
        <v>0</v>
      </c>
      <c r="BY21" s="360">
        <f t="shared" si="15"/>
        <v>0</v>
      </c>
      <c r="BZ21" s="360">
        <f t="shared" si="16"/>
        <v>0</v>
      </c>
      <c r="CA21" s="360">
        <f t="shared" si="17"/>
        <v>0</v>
      </c>
      <c r="CB21" s="360">
        <f t="shared" si="18"/>
        <v>0</v>
      </c>
      <c r="CC21" s="360">
        <f t="shared" si="19"/>
        <v>0</v>
      </c>
      <c r="CD21" s="360">
        <f t="shared" si="20"/>
        <v>0</v>
      </c>
      <c r="CE21" s="360">
        <f t="shared" si="21"/>
        <v>0</v>
      </c>
      <c r="CF21" s="360">
        <f t="shared" si="22"/>
        <v>0</v>
      </c>
      <c r="CG21" s="360">
        <f t="shared" si="23"/>
        <v>0</v>
      </c>
      <c r="CH21" s="360">
        <f t="shared" si="24"/>
        <v>0</v>
      </c>
      <c r="CI21" s="360">
        <f t="shared" si="25"/>
        <v>0</v>
      </c>
      <c r="CJ21" s="360">
        <f t="shared" si="26"/>
        <v>0</v>
      </c>
      <c r="CK21" s="360">
        <f t="shared" si="27"/>
        <v>0</v>
      </c>
      <c r="CL21" s="360">
        <f t="shared" si="28"/>
        <v>0</v>
      </c>
      <c r="CM21" s="360">
        <f t="shared" si="29"/>
        <v>0</v>
      </c>
      <c r="CN21" s="360">
        <f t="shared" si="30"/>
        <v>0</v>
      </c>
      <c r="CO21" s="360">
        <f t="shared" si="31"/>
        <v>0</v>
      </c>
      <c r="CP21" s="360">
        <f t="shared" si="32"/>
        <v>0</v>
      </c>
      <c r="CQ21" s="360">
        <f t="shared" si="33"/>
        <v>0</v>
      </c>
      <c r="CR21" s="360">
        <f t="shared" si="34"/>
        <v>30770000</v>
      </c>
      <c r="CS21" s="360">
        <f t="shared" si="35"/>
        <v>0</v>
      </c>
      <c r="CT21" s="360">
        <f t="shared" si="36"/>
        <v>0</v>
      </c>
      <c r="CU21" s="360">
        <f t="shared" si="37"/>
        <v>0</v>
      </c>
      <c r="CV21" s="360">
        <f t="shared" si="38"/>
        <v>0</v>
      </c>
      <c r="CW21" s="360">
        <f t="shared" si="39"/>
        <v>0</v>
      </c>
      <c r="CX21" s="360">
        <f t="shared" si="40"/>
        <v>5430000</v>
      </c>
      <c r="CY21" s="360">
        <f t="shared" si="41"/>
        <v>0</v>
      </c>
      <c r="CZ21" s="360">
        <f t="shared" si="42"/>
        <v>0</v>
      </c>
      <c r="DA21" s="360">
        <f t="shared" si="43"/>
        <v>0</v>
      </c>
      <c r="DB21" s="360">
        <f t="shared" si="44"/>
        <v>0</v>
      </c>
      <c r="DC21" s="360">
        <f t="shared" si="45"/>
        <v>0</v>
      </c>
      <c r="DD21" s="360">
        <f t="shared" si="46"/>
        <v>0</v>
      </c>
      <c r="DE21" s="360">
        <f t="shared" si="47"/>
        <v>0</v>
      </c>
      <c r="DF21" s="360">
        <f t="shared" si="48"/>
        <v>0</v>
      </c>
      <c r="DG21" s="360">
        <f t="shared" si="49"/>
        <v>0</v>
      </c>
      <c r="DH21" s="360">
        <f t="shared" si="50"/>
        <v>0</v>
      </c>
      <c r="DI21" s="360">
        <f t="shared" si="51"/>
        <v>0</v>
      </c>
      <c r="DJ21" s="359"/>
    </row>
    <row r="22" spans="1:191" ht="98" x14ac:dyDescent="0.35">
      <c r="A22" s="55" t="s">
        <v>354</v>
      </c>
      <c r="B22" s="136"/>
      <c r="C22" s="1" t="s">
        <v>355</v>
      </c>
      <c r="D22" s="1" t="s">
        <v>246</v>
      </c>
      <c r="E22" s="1" t="s">
        <v>349</v>
      </c>
      <c r="F22" s="109" t="s">
        <v>248</v>
      </c>
      <c r="G22" s="118">
        <v>92840000</v>
      </c>
      <c r="H22" s="126" t="s">
        <v>351</v>
      </c>
      <c r="I22" s="45">
        <v>0</v>
      </c>
      <c r="J22" s="45">
        <f t="shared" si="0"/>
        <v>92840000</v>
      </c>
      <c r="K22" s="118">
        <f t="shared" si="54"/>
        <v>92840000</v>
      </c>
      <c r="L22" s="116" t="s">
        <v>249</v>
      </c>
      <c r="M22" s="384">
        <f t="shared" si="2"/>
        <v>0</v>
      </c>
      <c r="N22" s="1" t="s">
        <v>334</v>
      </c>
      <c r="O22" s="10"/>
      <c r="P22" s="10"/>
      <c r="Q22" s="10"/>
      <c r="R22" s="1"/>
      <c r="S22" s="1"/>
      <c r="T22" s="94"/>
      <c r="U22" s="362">
        <v>1</v>
      </c>
      <c r="V22" s="362"/>
      <c r="W22" s="362"/>
      <c r="X22" s="365"/>
      <c r="Y22" s="365"/>
      <c r="Z22" s="364"/>
      <c r="AA22" s="11"/>
      <c r="AB22" s="1"/>
      <c r="AC22" s="25" t="s">
        <v>337</v>
      </c>
      <c r="AD22" s="275" t="s">
        <v>346</v>
      </c>
      <c r="AE22" s="383"/>
      <c r="AF22" s="181" t="s">
        <v>257</v>
      </c>
      <c r="AG22" s="134" t="s">
        <v>252</v>
      </c>
      <c r="AH22" s="87">
        <f>$K$22*'[1]Apportionment %'!C8</f>
        <v>4051082.1503374446</v>
      </c>
      <c r="AI22" s="87">
        <f>$K$22*'[1]Apportionment %'!D8</f>
        <v>14043751.454503141</v>
      </c>
      <c r="AJ22" s="87">
        <f>$K$22*'[1]Apportionment %'!E8</f>
        <v>5671515.0104724225</v>
      </c>
      <c r="AK22" s="87">
        <f>$K$22*'[1]Apportionment %'!F8</f>
        <v>4358964.3937630905</v>
      </c>
      <c r="AL22" s="87">
        <f>$K$22*'[1]Apportionment %'!G8</f>
        <v>7189320.4561321856</v>
      </c>
      <c r="AM22" s="87">
        <f>$K$22*'[1]Apportionment %'!H8</f>
        <v>45912264.370491043</v>
      </c>
      <c r="AN22" s="87">
        <f>$K$22*'[1]Apportionment %'!I8</f>
        <v>8102164.3006748892</v>
      </c>
      <c r="AO22" s="87">
        <f>$K$22*'[1]Apportionment %'!J8</f>
        <v>3510937.8636257853</v>
      </c>
      <c r="AP22" s="8"/>
      <c r="AQ22" s="8"/>
      <c r="AR22" s="8"/>
      <c r="AS22" s="8"/>
      <c r="AT22" s="8"/>
      <c r="AU22" s="8"/>
      <c r="AV22" s="8"/>
      <c r="AW22" s="8"/>
      <c r="AX22" s="8"/>
      <c r="AY22" s="8"/>
      <c r="AZ22" s="8"/>
      <c r="BA22" s="8"/>
      <c r="BB22" s="8"/>
      <c r="BC22" s="8"/>
      <c r="BD22" s="8"/>
      <c r="BE22" s="8"/>
      <c r="BF22" s="8"/>
      <c r="BG22" s="8"/>
      <c r="BH22" s="8"/>
      <c r="BI22" s="8"/>
      <c r="BJ22" s="11"/>
      <c r="BK22" s="11"/>
      <c r="BL22" s="288" t="b">
        <f t="shared" si="53"/>
        <v>1</v>
      </c>
      <c r="BN22" s="360">
        <f t="shared" si="4"/>
        <v>4051082.1503374446</v>
      </c>
      <c r="BO22" s="360">
        <f t="shared" si="5"/>
        <v>0</v>
      </c>
      <c r="BP22" s="360">
        <f t="shared" si="6"/>
        <v>0</v>
      </c>
      <c r="BQ22" s="360">
        <f t="shared" si="7"/>
        <v>0</v>
      </c>
      <c r="BR22" s="360">
        <f t="shared" si="8"/>
        <v>0</v>
      </c>
      <c r="BS22" s="360">
        <f t="shared" si="9"/>
        <v>0</v>
      </c>
      <c r="BT22" s="360">
        <f t="shared" si="10"/>
        <v>14043751.454503141</v>
      </c>
      <c r="BU22" s="360">
        <f t="shared" si="11"/>
        <v>0</v>
      </c>
      <c r="BV22" s="360">
        <f t="shared" si="12"/>
        <v>0</v>
      </c>
      <c r="BW22" s="360">
        <f t="shared" si="13"/>
        <v>0</v>
      </c>
      <c r="BX22" s="360">
        <f t="shared" si="14"/>
        <v>0</v>
      </c>
      <c r="BY22" s="360">
        <f t="shared" si="15"/>
        <v>0</v>
      </c>
      <c r="BZ22" s="360">
        <f t="shared" si="16"/>
        <v>5671515.0104724225</v>
      </c>
      <c r="CA22" s="360">
        <f t="shared" si="17"/>
        <v>0</v>
      </c>
      <c r="CB22" s="360">
        <f t="shared" si="18"/>
        <v>0</v>
      </c>
      <c r="CC22" s="360">
        <f t="shared" si="19"/>
        <v>0</v>
      </c>
      <c r="CD22" s="360">
        <f t="shared" si="20"/>
        <v>0</v>
      </c>
      <c r="CE22" s="360">
        <f t="shared" si="21"/>
        <v>0</v>
      </c>
      <c r="CF22" s="360">
        <f t="shared" si="22"/>
        <v>4358964.3937630905</v>
      </c>
      <c r="CG22" s="360">
        <f t="shared" si="23"/>
        <v>0</v>
      </c>
      <c r="CH22" s="360">
        <f t="shared" si="24"/>
        <v>0</v>
      </c>
      <c r="CI22" s="360">
        <f t="shared" si="25"/>
        <v>0</v>
      </c>
      <c r="CJ22" s="360">
        <f t="shared" si="26"/>
        <v>0</v>
      </c>
      <c r="CK22" s="360">
        <f t="shared" si="27"/>
        <v>0</v>
      </c>
      <c r="CL22" s="360">
        <f t="shared" si="28"/>
        <v>7189320.4561321856</v>
      </c>
      <c r="CM22" s="360">
        <f t="shared" si="29"/>
        <v>0</v>
      </c>
      <c r="CN22" s="360">
        <f t="shared" si="30"/>
        <v>0</v>
      </c>
      <c r="CO22" s="360">
        <f t="shared" si="31"/>
        <v>0</v>
      </c>
      <c r="CP22" s="360">
        <f t="shared" si="32"/>
        <v>0</v>
      </c>
      <c r="CQ22" s="360">
        <f t="shared" si="33"/>
        <v>0</v>
      </c>
      <c r="CR22" s="360">
        <f t="shared" si="34"/>
        <v>45912264.370491043</v>
      </c>
      <c r="CS22" s="360">
        <f t="shared" si="35"/>
        <v>0</v>
      </c>
      <c r="CT22" s="360">
        <f t="shared" si="36"/>
        <v>0</v>
      </c>
      <c r="CU22" s="360">
        <f t="shared" si="37"/>
        <v>0</v>
      </c>
      <c r="CV22" s="360">
        <f t="shared" si="38"/>
        <v>0</v>
      </c>
      <c r="CW22" s="360">
        <f t="shared" si="39"/>
        <v>0</v>
      </c>
      <c r="CX22" s="360">
        <f t="shared" si="40"/>
        <v>8102164.3006748892</v>
      </c>
      <c r="CY22" s="360">
        <f t="shared" si="41"/>
        <v>0</v>
      </c>
      <c r="CZ22" s="360">
        <f t="shared" si="42"/>
        <v>0</v>
      </c>
      <c r="DA22" s="360">
        <f t="shared" si="43"/>
        <v>0</v>
      </c>
      <c r="DB22" s="360">
        <f t="shared" si="44"/>
        <v>0</v>
      </c>
      <c r="DC22" s="360">
        <f t="shared" si="45"/>
        <v>0</v>
      </c>
      <c r="DD22" s="360">
        <f t="shared" si="46"/>
        <v>3510937.8636257853</v>
      </c>
      <c r="DE22" s="360">
        <f t="shared" si="47"/>
        <v>0</v>
      </c>
      <c r="DF22" s="360">
        <f t="shared" si="48"/>
        <v>0</v>
      </c>
      <c r="DG22" s="360">
        <f t="shared" si="49"/>
        <v>0</v>
      </c>
      <c r="DH22" s="360">
        <f t="shared" si="50"/>
        <v>0</v>
      </c>
      <c r="DI22" s="360">
        <f t="shared" si="51"/>
        <v>0</v>
      </c>
      <c r="DJ22" s="359"/>
    </row>
    <row r="23" spans="1:191" x14ac:dyDescent="0.35">
      <c r="A23" s="55" t="s">
        <v>356</v>
      </c>
      <c r="B23" s="136"/>
      <c r="C23" s="1" t="s">
        <v>357</v>
      </c>
      <c r="D23" s="1" t="s">
        <v>246</v>
      </c>
      <c r="E23" s="1"/>
      <c r="F23" s="109"/>
      <c r="G23" s="118">
        <v>2159000</v>
      </c>
      <c r="H23" s="126" t="s">
        <v>351</v>
      </c>
      <c r="I23" s="45">
        <v>0</v>
      </c>
      <c r="J23" s="45">
        <f t="shared" si="0"/>
        <v>2159000</v>
      </c>
      <c r="K23" s="118">
        <f t="shared" si="54"/>
        <v>2159000</v>
      </c>
      <c r="L23" s="116" t="s">
        <v>249</v>
      </c>
      <c r="M23" s="384">
        <f t="shared" si="2"/>
        <v>0</v>
      </c>
      <c r="N23" s="1" t="s">
        <v>316</v>
      </c>
      <c r="O23" s="10"/>
      <c r="P23" s="10"/>
      <c r="Q23" s="1"/>
      <c r="R23" s="1"/>
      <c r="S23" s="1"/>
      <c r="T23" s="94"/>
      <c r="U23" s="252">
        <v>1</v>
      </c>
      <c r="V23" s="362"/>
      <c r="W23" s="365"/>
      <c r="X23" s="365"/>
      <c r="Y23" s="365"/>
      <c r="Z23" s="364"/>
      <c r="AA23" s="11"/>
      <c r="AB23" s="1"/>
      <c r="AC23" s="25"/>
      <c r="AD23" s="275"/>
      <c r="AE23" s="383"/>
      <c r="AF23" s="181" t="s">
        <v>257</v>
      </c>
      <c r="AG23" s="134" t="s">
        <v>252</v>
      </c>
      <c r="AH23" s="8"/>
      <c r="AI23" s="8"/>
      <c r="AJ23" s="8"/>
      <c r="AK23" s="8"/>
      <c r="AL23" s="8"/>
      <c r="AM23" s="87">
        <f>$K$23</f>
        <v>2159000</v>
      </c>
      <c r="AN23" s="8"/>
      <c r="AO23" s="8"/>
      <c r="AP23" s="8"/>
      <c r="AQ23" s="8"/>
      <c r="AR23" s="8"/>
      <c r="AS23" s="8"/>
      <c r="AT23" s="8"/>
      <c r="AU23" s="8"/>
      <c r="AV23" s="8"/>
      <c r="AW23" s="8"/>
      <c r="AX23" s="8"/>
      <c r="AY23" s="8"/>
      <c r="AZ23" s="8"/>
      <c r="BA23" s="8"/>
      <c r="BB23" s="8"/>
      <c r="BC23" s="8"/>
      <c r="BD23" s="8"/>
      <c r="BE23" s="8"/>
      <c r="BF23" s="8"/>
      <c r="BG23" s="8"/>
      <c r="BH23" s="8"/>
      <c r="BI23" s="8"/>
      <c r="BJ23" s="11"/>
      <c r="BK23" s="11"/>
      <c r="BL23" s="288" t="b">
        <f t="shared" si="53"/>
        <v>1</v>
      </c>
      <c r="BN23" s="360">
        <f t="shared" si="4"/>
        <v>0</v>
      </c>
      <c r="BO23" s="360">
        <f t="shared" si="5"/>
        <v>0</v>
      </c>
      <c r="BP23" s="360">
        <f t="shared" si="6"/>
        <v>0</v>
      </c>
      <c r="BQ23" s="360">
        <f t="shared" si="7"/>
        <v>0</v>
      </c>
      <c r="BR23" s="360">
        <f t="shared" si="8"/>
        <v>0</v>
      </c>
      <c r="BS23" s="360">
        <f t="shared" si="9"/>
        <v>0</v>
      </c>
      <c r="BT23" s="360">
        <f t="shared" si="10"/>
        <v>0</v>
      </c>
      <c r="BU23" s="360">
        <f t="shared" si="11"/>
        <v>0</v>
      </c>
      <c r="BV23" s="360">
        <f t="shared" si="12"/>
        <v>0</v>
      </c>
      <c r="BW23" s="360">
        <f t="shared" si="13"/>
        <v>0</v>
      </c>
      <c r="BX23" s="360">
        <f t="shared" si="14"/>
        <v>0</v>
      </c>
      <c r="BY23" s="360">
        <f t="shared" si="15"/>
        <v>0</v>
      </c>
      <c r="BZ23" s="360">
        <f t="shared" si="16"/>
        <v>0</v>
      </c>
      <c r="CA23" s="360">
        <f t="shared" si="17"/>
        <v>0</v>
      </c>
      <c r="CB23" s="360">
        <f t="shared" si="18"/>
        <v>0</v>
      </c>
      <c r="CC23" s="360">
        <f t="shared" si="19"/>
        <v>0</v>
      </c>
      <c r="CD23" s="360">
        <f t="shared" si="20"/>
        <v>0</v>
      </c>
      <c r="CE23" s="360">
        <f t="shared" si="21"/>
        <v>0</v>
      </c>
      <c r="CF23" s="360">
        <f t="shared" si="22"/>
        <v>0</v>
      </c>
      <c r="CG23" s="360">
        <f t="shared" si="23"/>
        <v>0</v>
      </c>
      <c r="CH23" s="360">
        <f t="shared" si="24"/>
        <v>0</v>
      </c>
      <c r="CI23" s="360">
        <f t="shared" si="25"/>
        <v>0</v>
      </c>
      <c r="CJ23" s="360">
        <f t="shared" si="26"/>
        <v>0</v>
      </c>
      <c r="CK23" s="360">
        <f t="shared" si="27"/>
        <v>0</v>
      </c>
      <c r="CL23" s="360">
        <f t="shared" si="28"/>
        <v>0</v>
      </c>
      <c r="CM23" s="360">
        <f t="shared" si="29"/>
        <v>0</v>
      </c>
      <c r="CN23" s="360">
        <f t="shared" si="30"/>
        <v>0</v>
      </c>
      <c r="CO23" s="360">
        <f t="shared" si="31"/>
        <v>0</v>
      </c>
      <c r="CP23" s="360">
        <f t="shared" si="32"/>
        <v>0</v>
      </c>
      <c r="CQ23" s="360">
        <f t="shared" si="33"/>
        <v>0</v>
      </c>
      <c r="CR23" s="360">
        <f t="shared" si="34"/>
        <v>2159000</v>
      </c>
      <c r="CS23" s="360">
        <f t="shared" si="35"/>
        <v>0</v>
      </c>
      <c r="CT23" s="360">
        <f t="shared" si="36"/>
        <v>0</v>
      </c>
      <c r="CU23" s="360">
        <f t="shared" si="37"/>
        <v>0</v>
      </c>
      <c r="CV23" s="360">
        <f t="shared" si="38"/>
        <v>0</v>
      </c>
      <c r="CW23" s="360">
        <f t="shared" si="39"/>
        <v>0</v>
      </c>
      <c r="CX23" s="360">
        <f t="shared" si="40"/>
        <v>0</v>
      </c>
      <c r="CY23" s="360">
        <f t="shared" si="41"/>
        <v>0</v>
      </c>
      <c r="CZ23" s="360">
        <f t="shared" si="42"/>
        <v>0</v>
      </c>
      <c r="DA23" s="360">
        <f t="shared" si="43"/>
        <v>0</v>
      </c>
      <c r="DB23" s="360">
        <f t="shared" si="44"/>
        <v>0</v>
      </c>
      <c r="DC23" s="360">
        <f t="shared" si="45"/>
        <v>0</v>
      </c>
      <c r="DD23" s="360">
        <f t="shared" si="46"/>
        <v>0</v>
      </c>
      <c r="DE23" s="360">
        <f t="shared" si="47"/>
        <v>0</v>
      </c>
      <c r="DF23" s="360">
        <f t="shared" si="48"/>
        <v>0</v>
      </c>
      <c r="DG23" s="360">
        <f t="shared" si="49"/>
        <v>0</v>
      </c>
      <c r="DH23" s="360">
        <f t="shared" si="50"/>
        <v>0</v>
      </c>
      <c r="DI23" s="360">
        <f t="shared" si="51"/>
        <v>0</v>
      </c>
      <c r="DJ23" s="359"/>
    </row>
    <row r="24" spans="1:191" ht="42" x14ac:dyDescent="0.35">
      <c r="A24" s="55" t="s">
        <v>358</v>
      </c>
      <c r="B24" s="136"/>
      <c r="C24" s="1" t="s">
        <v>359</v>
      </c>
      <c r="D24" s="1" t="s">
        <v>246</v>
      </c>
      <c r="E24" s="1"/>
      <c r="F24" s="109"/>
      <c r="G24" s="118">
        <v>13240000</v>
      </c>
      <c r="H24" s="126" t="s">
        <v>351</v>
      </c>
      <c r="I24" s="45">
        <v>0</v>
      </c>
      <c r="J24" s="45">
        <f t="shared" si="0"/>
        <v>13240000</v>
      </c>
      <c r="K24" s="118">
        <f t="shared" si="54"/>
        <v>13240000</v>
      </c>
      <c r="L24" s="116" t="s">
        <v>249</v>
      </c>
      <c r="M24" s="384">
        <f t="shared" si="2"/>
        <v>0</v>
      </c>
      <c r="N24" s="1" t="s">
        <v>360</v>
      </c>
      <c r="O24" s="10"/>
      <c r="P24" s="1"/>
      <c r="Q24" s="1"/>
      <c r="R24" s="1"/>
      <c r="S24" s="1"/>
      <c r="T24" s="94"/>
      <c r="U24" s="362">
        <v>1</v>
      </c>
      <c r="V24" s="365"/>
      <c r="W24" s="365"/>
      <c r="X24" s="365"/>
      <c r="Y24" s="365"/>
      <c r="Z24" s="364"/>
      <c r="AA24" s="11"/>
      <c r="AB24" s="1"/>
      <c r="AC24" s="25"/>
      <c r="AD24" s="275"/>
      <c r="AE24" s="383"/>
      <c r="AF24" s="181" t="s">
        <v>257</v>
      </c>
      <c r="AG24" s="134" t="s">
        <v>252</v>
      </c>
      <c r="AH24" s="8"/>
      <c r="AI24" s="8"/>
      <c r="AJ24" s="8"/>
      <c r="AK24" s="8"/>
      <c r="AL24" s="8"/>
      <c r="AM24" s="87">
        <f>$K$24</f>
        <v>13240000</v>
      </c>
      <c r="AN24" s="8"/>
      <c r="AO24" s="8"/>
      <c r="AP24" s="8"/>
      <c r="AQ24" s="8"/>
      <c r="AR24" s="8"/>
      <c r="AS24" s="8"/>
      <c r="AT24" s="8"/>
      <c r="AU24" s="8"/>
      <c r="AV24" s="8"/>
      <c r="AW24" s="8"/>
      <c r="AX24" s="8"/>
      <c r="AY24" s="8"/>
      <c r="AZ24" s="8"/>
      <c r="BA24" s="8"/>
      <c r="BB24" s="8"/>
      <c r="BC24" s="8"/>
      <c r="BD24" s="8"/>
      <c r="BE24" s="8"/>
      <c r="BF24" s="8"/>
      <c r="BG24" s="8"/>
      <c r="BH24" s="8"/>
      <c r="BI24" s="8"/>
      <c r="BJ24" s="11"/>
      <c r="BK24" s="11"/>
      <c r="BL24" s="288" t="b">
        <f t="shared" si="53"/>
        <v>1</v>
      </c>
      <c r="BN24" s="360">
        <f t="shared" si="4"/>
        <v>0</v>
      </c>
      <c r="BO24" s="360">
        <f t="shared" si="5"/>
        <v>0</v>
      </c>
      <c r="BP24" s="360">
        <f t="shared" si="6"/>
        <v>0</v>
      </c>
      <c r="BQ24" s="360">
        <f t="shared" si="7"/>
        <v>0</v>
      </c>
      <c r="BR24" s="360">
        <f t="shared" si="8"/>
        <v>0</v>
      </c>
      <c r="BS24" s="360">
        <f t="shared" si="9"/>
        <v>0</v>
      </c>
      <c r="BT24" s="360">
        <f t="shared" si="10"/>
        <v>0</v>
      </c>
      <c r="BU24" s="360">
        <f t="shared" si="11"/>
        <v>0</v>
      </c>
      <c r="BV24" s="360">
        <f t="shared" si="12"/>
        <v>0</v>
      </c>
      <c r="BW24" s="360">
        <f t="shared" si="13"/>
        <v>0</v>
      </c>
      <c r="BX24" s="360">
        <f t="shared" si="14"/>
        <v>0</v>
      </c>
      <c r="BY24" s="360">
        <f t="shared" si="15"/>
        <v>0</v>
      </c>
      <c r="BZ24" s="360">
        <f t="shared" si="16"/>
        <v>0</v>
      </c>
      <c r="CA24" s="360">
        <f t="shared" si="17"/>
        <v>0</v>
      </c>
      <c r="CB24" s="360">
        <f t="shared" si="18"/>
        <v>0</v>
      </c>
      <c r="CC24" s="360">
        <f t="shared" si="19"/>
        <v>0</v>
      </c>
      <c r="CD24" s="360">
        <f t="shared" si="20"/>
        <v>0</v>
      </c>
      <c r="CE24" s="360">
        <f t="shared" si="21"/>
        <v>0</v>
      </c>
      <c r="CF24" s="360">
        <f t="shared" si="22"/>
        <v>0</v>
      </c>
      <c r="CG24" s="360">
        <f t="shared" si="23"/>
        <v>0</v>
      </c>
      <c r="CH24" s="360">
        <f t="shared" si="24"/>
        <v>0</v>
      </c>
      <c r="CI24" s="360">
        <f t="shared" si="25"/>
        <v>0</v>
      </c>
      <c r="CJ24" s="360">
        <f t="shared" si="26"/>
        <v>0</v>
      </c>
      <c r="CK24" s="360">
        <f t="shared" si="27"/>
        <v>0</v>
      </c>
      <c r="CL24" s="360">
        <f t="shared" si="28"/>
        <v>0</v>
      </c>
      <c r="CM24" s="360">
        <f t="shared" si="29"/>
        <v>0</v>
      </c>
      <c r="CN24" s="360">
        <f t="shared" si="30"/>
        <v>0</v>
      </c>
      <c r="CO24" s="360">
        <f t="shared" si="31"/>
        <v>0</v>
      </c>
      <c r="CP24" s="360">
        <f t="shared" si="32"/>
        <v>0</v>
      </c>
      <c r="CQ24" s="360">
        <f t="shared" si="33"/>
        <v>0</v>
      </c>
      <c r="CR24" s="360">
        <f t="shared" si="34"/>
        <v>13240000</v>
      </c>
      <c r="CS24" s="360">
        <f t="shared" si="35"/>
        <v>0</v>
      </c>
      <c r="CT24" s="360">
        <f t="shared" si="36"/>
        <v>0</v>
      </c>
      <c r="CU24" s="360">
        <f t="shared" si="37"/>
        <v>0</v>
      </c>
      <c r="CV24" s="360">
        <f t="shared" si="38"/>
        <v>0</v>
      </c>
      <c r="CW24" s="360">
        <f t="shared" si="39"/>
        <v>0</v>
      </c>
      <c r="CX24" s="360">
        <f t="shared" si="40"/>
        <v>0</v>
      </c>
      <c r="CY24" s="360">
        <f t="shared" si="41"/>
        <v>0</v>
      </c>
      <c r="CZ24" s="360">
        <f t="shared" si="42"/>
        <v>0</v>
      </c>
      <c r="DA24" s="360">
        <f t="shared" si="43"/>
        <v>0</v>
      </c>
      <c r="DB24" s="360">
        <f t="shared" si="44"/>
        <v>0</v>
      </c>
      <c r="DC24" s="360">
        <f t="shared" si="45"/>
        <v>0</v>
      </c>
      <c r="DD24" s="360">
        <f t="shared" si="46"/>
        <v>0</v>
      </c>
      <c r="DE24" s="360">
        <f t="shared" si="47"/>
        <v>0</v>
      </c>
      <c r="DF24" s="360">
        <f t="shared" si="48"/>
        <v>0</v>
      </c>
      <c r="DG24" s="360">
        <f t="shared" si="49"/>
        <v>0</v>
      </c>
      <c r="DH24" s="360">
        <f t="shared" si="50"/>
        <v>0</v>
      </c>
      <c r="DI24" s="360">
        <f t="shared" si="51"/>
        <v>0</v>
      </c>
      <c r="DJ24" s="359"/>
    </row>
    <row r="25" spans="1:191" ht="28" x14ac:dyDescent="0.35">
      <c r="A25" s="55" t="s">
        <v>361</v>
      </c>
      <c r="B25" s="136"/>
      <c r="C25" s="1" t="s">
        <v>362</v>
      </c>
      <c r="D25" s="1" t="s">
        <v>246</v>
      </c>
      <c r="E25" s="1" t="s">
        <v>349</v>
      </c>
      <c r="F25" s="109" t="s">
        <v>248</v>
      </c>
      <c r="G25" s="118">
        <v>1535000</v>
      </c>
      <c r="H25" s="126" t="s">
        <v>351</v>
      </c>
      <c r="I25" s="45">
        <v>0</v>
      </c>
      <c r="J25" s="45">
        <f t="shared" si="0"/>
        <v>1535000</v>
      </c>
      <c r="K25" s="118">
        <f t="shared" si="54"/>
        <v>1535000</v>
      </c>
      <c r="L25" s="116" t="s">
        <v>249</v>
      </c>
      <c r="M25" s="384">
        <f t="shared" si="2"/>
        <v>0</v>
      </c>
      <c r="N25" s="1" t="s">
        <v>316</v>
      </c>
      <c r="O25" s="1"/>
      <c r="P25" s="10"/>
      <c r="Q25" s="10"/>
      <c r="R25" s="1"/>
      <c r="S25" s="1"/>
      <c r="T25" s="94"/>
      <c r="U25" s="365"/>
      <c r="V25" s="362">
        <v>1</v>
      </c>
      <c r="W25" s="362"/>
      <c r="X25" s="365"/>
      <c r="Y25" s="365"/>
      <c r="Z25" s="364"/>
      <c r="AA25" s="11"/>
      <c r="AB25" s="1"/>
      <c r="AC25" s="25" t="s">
        <v>337</v>
      </c>
      <c r="AD25" s="274" t="s">
        <v>241</v>
      </c>
      <c r="AE25" s="383"/>
      <c r="AF25" s="181" t="s">
        <v>257</v>
      </c>
      <c r="AG25" s="134" t="s">
        <v>252</v>
      </c>
      <c r="AH25" s="8"/>
      <c r="AI25" s="8"/>
      <c r="AJ25" s="8"/>
      <c r="AK25" s="8"/>
      <c r="AL25" s="8"/>
      <c r="AM25" s="8"/>
      <c r="AN25" s="87">
        <f>$K$25</f>
        <v>1535000</v>
      </c>
      <c r="AO25" s="8"/>
      <c r="AP25" s="8"/>
      <c r="AQ25" s="8"/>
      <c r="AR25" s="8"/>
      <c r="AS25" s="8"/>
      <c r="AT25" s="8"/>
      <c r="AU25" s="8"/>
      <c r="AV25" s="8"/>
      <c r="AW25" s="8"/>
      <c r="AX25" s="8"/>
      <c r="AY25" s="8"/>
      <c r="AZ25" s="8"/>
      <c r="BA25" s="8"/>
      <c r="BB25" s="8"/>
      <c r="BC25" s="8"/>
      <c r="BD25" s="8"/>
      <c r="BE25" s="8"/>
      <c r="BF25" s="8"/>
      <c r="BG25" s="8"/>
      <c r="BH25" s="8"/>
      <c r="BI25" s="8"/>
      <c r="BJ25" s="11"/>
      <c r="BK25" s="11"/>
      <c r="BL25" s="288" t="b">
        <f t="shared" si="53"/>
        <v>1</v>
      </c>
      <c r="BN25" s="360">
        <f t="shared" si="4"/>
        <v>0</v>
      </c>
      <c r="BO25" s="360">
        <f t="shared" si="5"/>
        <v>0</v>
      </c>
      <c r="BP25" s="360">
        <f t="shared" si="6"/>
        <v>0</v>
      </c>
      <c r="BQ25" s="360">
        <f t="shared" si="7"/>
        <v>0</v>
      </c>
      <c r="BR25" s="360">
        <f t="shared" si="8"/>
        <v>0</v>
      </c>
      <c r="BS25" s="360">
        <f t="shared" si="9"/>
        <v>0</v>
      </c>
      <c r="BT25" s="360">
        <f t="shared" si="10"/>
        <v>0</v>
      </c>
      <c r="BU25" s="360">
        <f t="shared" si="11"/>
        <v>0</v>
      </c>
      <c r="BV25" s="360">
        <f t="shared" si="12"/>
        <v>0</v>
      </c>
      <c r="BW25" s="360">
        <f t="shared" si="13"/>
        <v>0</v>
      </c>
      <c r="BX25" s="360">
        <f t="shared" si="14"/>
        <v>0</v>
      </c>
      <c r="BY25" s="360">
        <f t="shared" si="15"/>
        <v>0</v>
      </c>
      <c r="BZ25" s="360">
        <f t="shared" si="16"/>
        <v>0</v>
      </c>
      <c r="CA25" s="360">
        <f t="shared" si="17"/>
        <v>0</v>
      </c>
      <c r="CB25" s="360">
        <f t="shared" si="18"/>
        <v>0</v>
      </c>
      <c r="CC25" s="360">
        <f t="shared" si="19"/>
        <v>0</v>
      </c>
      <c r="CD25" s="360">
        <f t="shared" si="20"/>
        <v>0</v>
      </c>
      <c r="CE25" s="360">
        <f t="shared" si="21"/>
        <v>0</v>
      </c>
      <c r="CF25" s="360">
        <f t="shared" si="22"/>
        <v>0</v>
      </c>
      <c r="CG25" s="360">
        <f t="shared" si="23"/>
        <v>0</v>
      </c>
      <c r="CH25" s="360">
        <f t="shared" si="24"/>
        <v>0</v>
      </c>
      <c r="CI25" s="360">
        <f t="shared" si="25"/>
        <v>0</v>
      </c>
      <c r="CJ25" s="360">
        <f t="shared" si="26"/>
        <v>0</v>
      </c>
      <c r="CK25" s="360">
        <f t="shared" si="27"/>
        <v>0</v>
      </c>
      <c r="CL25" s="360">
        <f t="shared" si="28"/>
        <v>0</v>
      </c>
      <c r="CM25" s="360">
        <f t="shared" si="29"/>
        <v>0</v>
      </c>
      <c r="CN25" s="360">
        <f t="shared" si="30"/>
        <v>0</v>
      </c>
      <c r="CO25" s="360">
        <f t="shared" si="31"/>
        <v>0</v>
      </c>
      <c r="CP25" s="360">
        <f t="shared" si="32"/>
        <v>0</v>
      </c>
      <c r="CQ25" s="360">
        <f t="shared" si="33"/>
        <v>0</v>
      </c>
      <c r="CR25" s="360">
        <f t="shared" si="34"/>
        <v>0</v>
      </c>
      <c r="CS25" s="360">
        <f t="shared" si="35"/>
        <v>0</v>
      </c>
      <c r="CT25" s="360">
        <f t="shared" si="36"/>
        <v>0</v>
      </c>
      <c r="CU25" s="360">
        <f t="shared" si="37"/>
        <v>0</v>
      </c>
      <c r="CV25" s="360">
        <f t="shared" si="38"/>
        <v>0</v>
      </c>
      <c r="CW25" s="360">
        <f t="shared" si="39"/>
        <v>0</v>
      </c>
      <c r="CX25" s="360">
        <f t="shared" si="40"/>
        <v>0</v>
      </c>
      <c r="CY25" s="360">
        <f t="shared" si="41"/>
        <v>1535000</v>
      </c>
      <c r="CZ25" s="360">
        <f t="shared" si="42"/>
        <v>0</v>
      </c>
      <c r="DA25" s="360">
        <f t="shared" si="43"/>
        <v>0</v>
      </c>
      <c r="DB25" s="360">
        <f t="shared" si="44"/>
        <v>0</v>
      </c>
      <c r="DC25" s="360">
        <f t="shared" si="45"/>
        <v>0</v>
      </c>
      <c r="DD25" s="360">
        <f t="shared" si="46"/>
        <v>0</v>
      </c>
      <c r="DE25" s="360">
        <f t="shared" si="47"/>
        <v>0</v>
      </c>
      <c r="DF25" s="360">
        <f t="shared" si="48"/>
        <v>0</v>
      </c>
      <c r="DG25" s="360">
        <f t="shared" si="49"/>
        <v>0</v>
      </c>
      <c r="DH25" s="360">
        <f t="shared" si="50"/>
        <v>0</v>
      </c>
      <c r="DI25" s="360">
        <f t="shared" si="51"/>
        <v>0</v>
      </c>
      <c r="DJ25" s="359"/>
    </row>
    <row r="26" spans="1:191" ht="42" x14ac:dyDescent="0.3">
      <c r="A26" s="55" t="s">
        <v>363</v>
      </c>
      <c r="B26" s="136"/>
      <c r="C26" s="11" t="s">
        <v>364</v>
      </c>
      <c r="D26" s="56" t="s">
        <v>281</v>
      </c>
      <c r="E26" s="1" t="s">
        <v>349</v>
      </c>
      <c r="F26" s="109" t="s">
        <v>248</v>
      </c>
      <c r="G26" s="118">
        <v>10350000</v>
      </c>
      <c r="H26" s="126" t="s">
        <v>351</v>
      </c>
      <c r="I26" s="45">
        <v>0</v>
      </c>
      <c r="J26" s="45">
        <f t="shared" si="0"/>
        <v>10350000</v>
      </c>
      <c r="K26" s="118">
        <f t="shared" si="54"/>
        <v>10350000</v>
      </c>
      <c r="L26" s="116" t="s">
        <v>249</v>
      </c>
      <c r="M26" s="384">
        <f t="shared" si="2"/>
        <v>0</v>
      </c>
      <c r="N26" s="1" t="s">
        <v>365</v>
      </c>
      <c r="O26" s="10"/>
      <c r="P26" s="10"/>
      <c r="Q26" s="1"/>
      <c r="R26" s="1"/>
      <c r="S26" s="1"/>
      <c r="T26" s="94"/>
      <c r="U26" s="362"/>
      <c r="V26" s="362">
        <v>1</v>
      </c>
      <c r="W26" s="365"/>
      <c r="X26" s="365"/>
      <c r="Y26" s="365"/>
      <c r="Z26" s="364"/>
      <c r="AA26" s="11" t="s">
        <v>366</v>
      </c>
      <c r="AB26" s="11" t="s">
        <v>336</v>
      </c>
      <c r="AC26" s="25" t="s">
        <v>367</v>
      </c>
      <c r="AD26" s="274" t="s">
        <v>241</v>
      </c>
      <c r="AE26" s="383"/>
      <c r="AF26" s="181" t="s">
        <v>257</v>
      </c>
      <c r="AG26" s="134" t="s">
        <v>252</v>
      </c>
      <c r="AH26" s="8"/>
      <c r="AI26" s="8"/>
      <c r="AJ26" s="8"/>
      <c r="AK26" s="8"/>
      <c r="AL26" s="8"/>
      <c r="AM26" s="87">
        <f>$K$26*'[2]Apportionment %'!H$9</f>
        <v>8797500</v>
      </c>
      <c r="AN26" s="87">
        <f>$K$26*'[2]Apportionment %'!I$9</f>
        <v>1552500</v>
      </c>
      <c r="AO26" s="8"/>
      <c r="AP26" s="8"/>
      <c r="AQ26" s="8"/>
      <c r="AR26" s="8"/>
      <c r="AS26" s="8"/>
      <c r="AT26" s="8"/>
      <c r="AU26" s="8"/>
      <c r="AV26" s="8"/>
      <c r="AW26" s="8"/>
      <c r="AX26" s="8"/>
      <c r="AY26" s="8"/>
      <c r="AZ26" s="8"/>
      <c r="BA26" s="8"/>
      <c r="BB26" s="8"/>
      <c r="BC26" s="8"/>
      <c r="BD26" s="8"/>
      <c r="BE26" s="8"/>
      <c r="BF26" s="8"/>
      <c r="BG26" s="8"/>
      <c r="BH26" s="8"/>
      <c r="BI26" s="8"/>
      <c r="BJ26" s="11"/>
      <c r="BK26" s="11"/>
      <c r="BL26" s="288" t="b">
        <f t="shared" si="53"/>
        <v>1</v>
      </c>
      <c r="BM26" s="345"/>
      <c r="BN26" s="360">
        <f t="shared" si="4"/>
        <v>0</v>
      </c>
      <c r="BO26" s="360">
        <f t="shared" si="5"/>
        <v>0</v>
      </c>
      <c r="BP26" s="360">
        <f t="shared" si="6"/>
        <v>0</v>
      </c>
      <c r="BQ26" s="360">
        <f t="shared" si="7"/>
        <v>0</v>
      </c>
      <c r="BR26" s="360">
        <f t="shared" si="8"/>
        <v>0</v>
      </c>
      <c r="BS26" s="360">
        <f t="shared" si="9"/>
        <v>0</v>
      </c>
      <c r="BT26" s="360">
        <f t="shared" si="10"/>
        <v>0</v>
      </c>
      <c r="BU26" s="360">
        <f t="shared" si="11"/>
        <v>0</v>
      </c>
      <c r="BV26" s="360">
        <f t="shared" si="12"/>
        <v>0</v>
      </c>
      <c r="BW26" s="360">
        <f t="shared" si="13"/>
        <v>0</v>
      </c>
      <c r="BX26" s="360">
        <f t="shared" si="14"/>
        <v>0</v>
      </c>
      <c r="BY26" s="360">
        <f t="shared" si="15"/>
        <v>0</v>
      </c>
      <c r="BZ26" s="360">
        <f t="shared" si="16"/>
        <v>0</v>
      </c>
      <c r="CA26" s="360">
        <f t="shared" si="17"/>
        <v>0</v>
      </c>
      <c r="CB26" s="360">
        <f t="shared" si="18"/>
        <v>0</v>
      </c>
      <c r="CC26" s="360">
        <f t="shared" si="19"/>
        <v>0</v>
      </c>
      <c r="CD26" s="360">
        <f t="shared" si="20"/>
        <v>0</v>
      </c>
      <c r="CE26" s="360">
        <f t="shared" si="21"/>
        <v>0</v>
      </c>
      <c r="CF26" s="360">
        <f t="shared" si="22"/>
        <v>0</v>
      </c>
      <c r="CG26" s="360">
        <f t="shared" si="23"/>
        <v>0</v>
      </c>
      <c r="CH26" s="360">
        <f t="shared" si="24"/>
        <v>0</v>
      </c>
      <c r="CI26" s="360">
        <f t="shared" si="25"/>
        <v>0</v>
      </c>
      <c r="CJ26" s="360">
        <f t="shared" si="26"/>
        <v>0</v>
      </c>
      <c r="CK26" s="360">
        <f t="shared" si="27"/>
        <v>0</v>
      </c>
      <c r="CL26" s="360">
        <f t="shared" si="28"/>
        <v>0</v>
      </c>
      <c r="CM26" s="360">
        <f t="shared" si="29"/>
        <v>0</v>
      </c>
      <c r="CN26" s="360">
        <f t="shared" si="30"/>
        <v>0</v>
      </c>
      <c r="CO26" s="360">
        <f t="shared" si="31"/>
        <v>0</v>
      </c>
      <c r="CP26" s="360">
        <f t="shared" si="32"/>
        <v>0</v>
      </c>
      <c r="CQ26" s="360">
        <f t="shared" si="33"/>
        <v>0</v>
      </c>
      <c r="CR26" s="360">
        <f t="shared" si="34"/>
        <v>0</v>
      </c>
      <c r="CS26" s="360">
        <f t="shared" si="35"/>
        <v>8797500</v>
      </c>
      <c r="CT26" s="360">
        <f t="shared" si="36"/>
        <v>0</v>
      </c>
      <c r="CU26" s="360">
        <f t="shared" si="37"/>
        <v>0</v>
      </c>
      <c r="CV26" s="360">
        <f t="shared" si="38"/>
        <v>0</v>
      </c>
      <c r="CW26" s="360">
        <f t="shared" si="39"/>
        <v>0</v>
      </c>
      <c r="CX26" s="360">
        <f t="shared" si="40"/>
        <v>0</v>
      </c>
      <c r="CY26" s="360">
        <f t="shared" si="41"/>
        <v>1552500</v>
      </c>
      <c r="CZ26" s="360">
        <f t="shared" si="42"/>
        <v>0</v>
      </c>
      <c r="DA26" s="360">
        <f t="shared" si="43"/>
        <v>0</v>
      </c>
      <c r="DB26" s="360">
        <f t="shared" si="44"/>
        <v>0</v>
      </c>
      <c r="DC26" s="360">
        <f t="shared" si="45"/>
        <v>0</v>
      </c>
      <c r="DD26" s="360">
        <f t="shared" si="46"/>
        <v>0</v>
      </c>
      <c r="DE26" s="360">
        <f t="shared" si="47"/>
        <v>0</v>
      </c>
      <c r="DF26" s="360">
        <f t="shared" si="48"/>
        <v>0</v>
      </c>
      <c r="DG26" s="360">
        <f t="shared" si="49"/>
        <v>0</v>
      </c>
      <c r="DH26" s="360">
        <f t="shared" si="50"/>
        <v>0</v>
      </c>
      <c r="DI26" s="360">
        <f t="shared" si="51"/>
        <v>0</v>
      </c>
      <c r="DJ26" s="359"/>
    </row>
    <row r="27" spans="1:191" ht="98" x14ac:dyDescent="0.3">
      <c r="A27" s="55" t="s">
        <v>368</v>
      </c>
      <c r="B27" s="136"/>
      <c r="C27" s="11" t="s">
        <v>369</v>
      </c>
      <c r="D27" s="265" t="s">
        <v>297</v>
      </c>
      <c r="E27" s="1" t="s">
        <v>340</v>
      </c>
      <c r="F27" s="94"/>
      <c r="G27" s="118">
        <v>175000000</v>
      </c>
      <c r="H27" s="116" t="s">
        <v>370</v>
      </c>
      <c r="I27" s="45">
        <v>0</v>
      </c>
      <c r="J27" s="45">
        <f t="shared" si="0"/>
        <v>175000000</v>
      </c>
      <c r="K27" s="118" t="s">
        <v>371</v>
      </c>
      <c r="L27" s="367" t="s">
        <v>372</v>
      </c>
      <c r="M27" s="363" t="s">
        <v>371</v>
      </c>
      <c r="N27" s="1" t="s">
        <v>373</v>
      </c>
      <c r="O27" s="1"/>
      <c r="P27" s="10"/>
      <c r="Q27" s="10"/>
      <c r="R27" s="1"/>
      <c r="S27" s="1"/>
      <c r="T27" s="94"/>
      <c r="U27" s="365"/>
      <c r="V27" s="362"/>
      <c r="W27" s="362">
        <v>1</v>
      </c>
      <c r="X27" s="365"/>
      <c r="Y27" s="365"/>
      <c r="Z27" s="364"/>
      <c r="AA27" s="11" t="s">
        <v>374</v>
      </c>
      <c r="AB27" s="11" t="s">
        <v>336</v>
      </c>
      <c r="AC27" s="25" t="s">
        <v>375</v>
      </c>
      <c r="AD27" s="275" t="s">
        <v>346</v>
      </c>
      <c r="AE27" s="136"/>
      <c r="AF27" s="97" t="s">
        <v>242</v>
      </c>
      <c r="AG27" s="134" t="s">
        <v>293</v>
      </c>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11"/>
      <c r="BK27" s="11"/>
      <c r="BL27" s="288" t="b">
        <f t="shared" si="53"/>
        <v>0</v>
      </c>
      <c r="BM27" s="348"/>
      <c r="BN27" s="360">
        <f t="shared" si="4"/>
        <v>0</v>
      </c>
      <c r="BO27" s="360">
        <f t="shared" si="5"/>
        <v>0</v>
      </c>
      <c r="BP27" s="360">
        <f t="shared" si="6"/>
        <v>0</v>
      </c>
      <c r="BQ27" s="360">
        <f t="shared" si="7"/>
        <v>0</v>
      </c>
      <c r="BR27" s="360">
        <f t="shared" si="8"/>
        <v>0</v>
      </c>
      <c r="BS27" s="360">
        <f t="shared" si="9"/>
        <v>0</v>
      </c>
      <c r="BT27" s="360">
        <f t="shared" si="10"/>
        <v>0</v>
      </c>
      <c r="BU27" s="360">
        <f t="shared" si="11"/>
        <v>0</v>
      </c>
      <c r="BV27" s="360">
        <f t="shared" si="12"/>
        <v>0</v>
      </c>
      <c r="BW27" s="360">
        <f t="shared" si="13"/>
        <v>0</v>
      </c>
      <c r="BX27" s="360">
        <f t="shared" si="14"/>
        <v>0</v>
      </c>
      <c r="BY27" s="360">
        <f t="shared" si="15"/>
        <v>0</v>
      </c>
      <c r="BZ27" s="360">
        <f t="shared" si="16"/>
        <v>0</v>
      </c>
      <c r="CA27" s="360">
        <f t="shared" si="17"/>
        <v>0</v>
      </c>
      <c r="CB27" s="360">
        <f t="shared" si="18"/>
        <v>0</v>
      </c>
      <c r="CC27" s="360">
        <f t="shared" si="19"/>
        <v>0</v>
      </c>
      <c r="CD27" s="360">
        <f t="shared" si="20"/>
        <v>0</v>
      </c>
      <c r="CE27" s="360">
        <f t="shared" si="21"/>
        <v>0</v>
      </c>
      <c r="CF27" s="360">
        <f t="shared" si="22"/>
        <v>0</v>
      </c>
      <c r="CG27" s="360">
        <f t="shared" si="23"/>
        <v>0</v>
      </c>
      <c r="CH27" s="360">
        <f t="shared" si="24"/>
        <v>0</v>
      </c>
      <c r="CI27" s="360">
        <f t="shared" si="25"/>
        <v>0</v>
      </c>
      <c r="CJ27" s="360">
        <f t="shared" si="26"/>
        <v>0</v>
      </c>
      <c r="CK27" s="360">
        <f t="shared" si="27"/>
        <v>0</v>
      </c>
      <c r="CL27" s="360">
        <f t="shared" si="28"/>
        <v>0</v>
      </c>
      <c r="CM27" s="360">
        <f t="shared" si="29"/>
        <v>0</v>
      </c>
      <c r="CN27" s="360">
        <f t="shared" si="30"/>
        <v>0</v>
      </c>
      <c r="CO27" s="360">
        <f t="shared" si="31"/>
        <v>0</v>
      </c>
      <c r="CP27" s="360">
        <f t="shared" si="32"/>
        <v>0</v>
      </c>
      <c r="CQ27" s="360">
        <f t="shared" si="33"/>
        <v>0</v>
      </c>
      <c r="CR27" s="360">
        <f t="shared" si="34"/>
        <v>0</v>
      </c>
      <c r="CS27" s="360">
        <f t="shared" si="35"/>
        <v>0</v>
      </c>
      <c r="CT27" s="360">
        <f t="shared" si="36"/>
        <v>0</v>
      </c>
      <c r="CU27" s="360">
        <f t="shared" si="37"/>
        <v>0</v>
      </c>
      <c r="CV27" s="360">
        <f t="shared" si="38"/>
        <v>0</v>
      </c>
      <c r="CW27" s="360">
        <f t="shared" si="39"/>
        <v>0</v>
      </c>
      <c r="CX27" s="360">
        <f t="shared" si="40"/>
        <v>0</v>
      </c>
      <c r="CY27" s="360">
        <f t="shared" si="41"/>
        <v>0</v>
      </c>
      <c r="CZ27" s="360">
        <f t="shared" si="42"/>
        <v>0</v>
      </c>
      <c r="DA27" s="360">
        <f t="shared" si="43"/>
        <v>0</v>
      </c>
      <c r="DB27" s="360">
        <f t="shared" si="44"/>
        <v>0</v>
      </c>
      <c r="DC27" s="360">
        <f t="shared" si="45"/>
        <v>0</v>
      </c>
      <c r="DD27" s="360">
        <f t="shared" si="46"/>
        <v>0</v>
      </c>
      <c r="DE27" s="360">
        <f t="shared" si="47"/>
        <v>0</v>
      </c>
      <c r="DF27" s="360">
        <f t="shared" si="48"/>
        <v>0</v>
      </c>
      <c r="DG27" s="360">
        <f t="shared" si="49"/>
        <v>0</v>
      </c>
      <c r="DH27" s="360">
        <f t="shared" si="50"/>
        <v>0</v>
      </c>
      <c r="DI27" s="360">
        <f t="shared" si="51"/>
        <v>0</v>
      </c>
      <c r="DJ27" s="359"/>
    </row>
    <row r="28" spans="1:191" ht="70" x14ac:dyDescent="0.3">
      <c r="A28" s="55" t="s">
        <v>376</v>
      </c>
      <c r="B28" s="136"/>
      <c r="C28" s="11" t="s">
        <v>377</v>
      </c>
      <c r="D28" s="1" t="s">
        <v>371</v>
      </c>
      <c r="E28" s="1" t="s">
        <v>378</v>
      </c>
      <c r="F28" s="94" t="s">
        <v>299</v>
      </c>
      <c r="G28" s="124" t="s">
        <v>371</v>
      </c>
      <c r="H28" s="367"/>
      <c r="I28" s="48">
        <v>0</v>
      </c>
      <c r="J28" s="45" t="s">
        <v>371</v>
      </c>
      <c r="K28" s="118" t="s">
        <v>371</v>
      </c>
      <c r="L28" s="367" t="s">
        <v>372</v>
      </c>
      <c r="M28" s="363" t="s">
        <v>371</v>
      </c>
      <c r="N28" s="1" t="s">
        <v>379</v>
      </c>
      <c r="O28" s="1"/>
      <c r="P28" s="1"/>
      <c r="Q28" s="1"/>
      <c r="R28" s="10"/>
      <c r="S28" s="10"/>
      <c r="T28" s="218"/>
      <c r="U28" s="365"/>
      <c r="V28" s="365"/>
      <c r="W28" s="365"/>
      <c r="X28" s="362">
        <v>1</v>
      </c>
      <c r="Y28" s="362"/>
      <c r="Z28" s="361"/>
      <c r="AA28" s="11" t="s">
        <v>380</v>
      </c>
      <c r="AB28" s="11" t="s">
        <v>381</v>
      </c>
      <c r="AC28" s="25" t="s">
        <v>276</v>
      </c>
      <c r="AD28" s="276" t="s">
        <v>382</v>
      </c>
      <c r="AE28" s="136"/>
      <c r="AF28" s="210" t="s">
        <v>257</v>
      </c>
      <c r="AG28" s="134" t="s">
        <v>293</v>
      </c>
      <c r="AH28" s="8"/>
      <c r="AI28" s="8"/>
      <c r="AJ28" s="8"/>
      <c r="AK28" s="8"/>
      <c r="AL28" s="8"/>
      <c r="AM28" s="8"/>
      <c r="AN28" s="47"/>
      <c r="AO28" s="8"/>
      <c r="AP28" s="8"/>
      <c r="AQ28" s="8"/>
      <c r="AR28" s="8"/>
      <c r="AS28" s="8"/>
      <c r="AT28" s="8"/>
      <c r="AU28" s="8"/>
      <c r="AV28" s="8"/>
      <c r="AW28" s="8"/>
      <c r="AX28" s="8"/>
      <c r="AY28" s="8"/>
      <c r="AZ28" s="8"/>
      <c r="BA28" s="8"/>
      <c r="BB28" s="8"/>
      <c r="BC28" s="8"/>
      <c r="BD28" s="8"/>
      <c r="BE28" s="8"/>
      <c r="BF28" s="8"/>
      <c r="BG28" s="8"/>
      <c r="BH28" s="8"/>
      <c r="BI28" s="8"/>
      <c r="BJ28" s="11"/>
      <c r="BK28" s="11"/>
      <c r="BL28" s="288" t="b">
        <f t="shared" si="53"/>
        <v>0</v>
      </c>
      <c r="BM28" s="348"/>
      <c r="BN28" s="360">
        <f t="shared" si="4"/>
        <v>0</v>
      </c>
      <c r="BO28" s="360">
        <f t="shared" si="5"/>
        <v>0</v>
      </c>
      <c r="BP28" s="360">
        <f t="shared" si="6"/>
        <v>0</v>
      </c>
      <c r="BQ28" s="360">
        <f t="shared" si="7"/>
        <v>0</v>
      </c>
      <c r="BR28" s="360">
        <f t="shared" si="8"/>
        <v>0</v>
      </c>
      <c r="BS28" s="360">
        <f t="shared" si="9"/>
        <v>0</v>
      </c>
      <c r="BT28" s="360">
        <f t="shared" si="10"/>
        <v>0</v>
      </c>
      <c r="BU28" s="360">
        <f t="shared" si="11"/>
        <v>0</v>
      </c>
      <c r="BV28" s="360">
        <f t="shared" si="12"/>
        <v>0</v>
      </c>
      <c r="BW28" s="360">
        <f t="shared" si="13"/>
        <v>0</v>
      </c>
      <c r="BX28" s="360">
        <f t="shared" si="14"/>
        <v>0</v>
      </c>
      <c r="BY28" s="360">
        <f t="shared" si="15"/>
        <v>0</v>
      </c>
      <c r="BZ28" s="360">
        <f t="shared" si="16"/>
        <v>0</v>
      </c>
      <c r="CA28" s="360">
        <f t="shared" si="17"/>
        <v>0</v>
      </c>
      <c r="CB28" s="360">
        <f t="shared" si="18"/>
        <v>0</v>
      </c>
      <c r="CC28" s="360">
        <f t="shared" si="19"/>
        <v>0</v>
      </c>
      <c r="CD28" s="360">
        <f t="shared" si="20"/>
        <v>0</v>
      </c>
      <c r="CE28" s="360">
        <f t="shared" si="21"/>
        <v>0</v>
      </c>
      <c r="CF28" s="360">
        <f t="shared" si="22"/>
        <v>0</v>
      </c>
      <c r="CG28" s="360">
        <f t="shared" si="23"/>
        <v>0</v>
      </c>
      <c r="CH28" s="360">
        <f t="shared" si="24"/>
        <v>0</v>
      </c>
      <c r="CI28" s="360">
        <f t="shared" si="25"/>
        <v>0</v>
      </c>
      <c r="CJ28" s="360">
        <f t="shared" si="26"/>
        <v>0</v>
      </c>
      <c r="CK28" s="360">
        <f t="shared" si="27"/>
        <v>0</v>
      </c>
      <c r="CL28" s="360">
        <f t="shared" si="28"/>
        <v>0</v>
      </c>
      <c r="CM28" s="360">
        <f t="shared" si="29"/>
        <v>0</v>
      </c>
      <c r="CN28" s="360">
        <f t="shared" si="30"/>
        <v>0</v>
      </c>
      <c r="CO28" s="360">
        <f t="shared" si="31"/>
        <v>0</v>
      </c>
      <c r="CP28" s="360">
        <f t="shared" si="32"/>
        <v>0</v>
      </c>
      <c r="CQ28" s="360">
        <f t="shared" si="33"/>
        <v>0</v>
      </c>
      <c r="CR28" s="360">
        <f t="shared" si="34"/>
        <v>0</v>
      </c>
      <c r="CS28" s="360">
        <f t="shared" si="35"/>
        <v>0</v>
      </c>
      <c r="CT28" s="360">
        <f t="shared" si="36"/>
        <v>0</v>
      </c>
      <c r="CU28" s="360">
        <f t="shared" si="37"/>
        <v>0</v>
      </c>
      <c r="CV28" s="360">
        <f t="shared" si="38"/>
        <v>0</v>
      </c>
      <c r="CW28" s="360">
        <f t="shared" si="39"/>
        <v>0</v>
      </c>
      <c r="CX28" s="360">
        <f t="shared" si="40"/>
        <v>0</v>
      </c>
      <c r="CY28" s="360">
        <f t="shared" si="41"/>
        <v>0</v>
      </c>
      <c r="CZ28" s="360">
        <f t="shared" si="42"/>
        <v>0</v>
      </c>
      <c r="DA28" s="360">
        <f t="shared" si="43"/>
        <v>0</v>
      </c>
      <c r="DB28" s="360">
        <f t="shared" si="44"/>
        <v>0</v>
      </c>
      <c r="DC28" s="360">
        <f t="shared" si="45"/>
        <v>0</v>
      </c>
      <c r="DD28" s="360">
        <f t="shared" si="46"/>
        <v>0</v>
      </c>
      <c r="DE28" s="360">
        <f t="shared" si="47"/>
        <v>0</v>
      </c>
      <c r="DF28" s="360">
        <f t="shared" si="48"/>
        <v>0</v>
      </c>
      <c r="DG28" s="360">
        <f t="shared" si="49"/>
        <v>0</v>
      </c>
      <c r="DH28" s="360">
        <f t="shared" si="50"/>
        <v>0</v>
      </c>
      <c r="DI28" s="360">
        <f t="shared" si="51"/>
        <v>0</v>
      </c>
      <c r="DJ28" s="359"/>
    </row>
    <row r="29" spans="1:191" s="374" customFormat="1" ht="14" x14ac:dyDescent="0.3">
      <c r="A29" s="43" t="s">
        <v>383</v>
      </c>
      <c r="B29" s="138"/>
      <c r="C29" s="182"/>
      <c r="D29" s="183"/>
      <c r="E29" s="14"/>
      <c r="F29" s="382"/>
      <c r="G29" s="184"/>
      <c r="H29" s="141"/>
      <c r="I29" s="381"/>
      <c r="J29" s="381"/>
      <c r="K29" s="381"/>
      <c r="L29" s="182"/>
      <c r="M29" s="380"/>
      <c r="N29" s="14"/>
      <c r="O29" s="14"/>
      <c r="P29" s="14"/>
      <c r="Q29" s="14"/>
      <c r="R29" s="14"/>
      <c r="S29" s="14"/>
      <c r="T29" s="128"/>
      <c r="U29" s="378"/>
      <c r="V29" s="378"/>
      <c r="W29" s="378"/>
      <c r="X29" s="378"/>
      <c r="Y29" s="378"/>
      <c r="Z29" s="377"/>
      <c r="AA29" s="37"/>
      <c r="AB29" s="43"/>
      <c r="AC29" s="37"/>
      <c r="AD29" s="37"/>
      <c r="AE29" s="376"/>
      <c r="AF29" s="43"/>
      <c r="AG29" s="37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37"/>
      <c r="BK29" s="37"/>
      <c r="BL29" s="288"/>
      <c r="BM29" s="348"/>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359"/>
      <c r="DK29" s="370"/>
      <c r="DL29" s="370"/>
      <c r="DM29" s="370"/>
      <c r="DN29" s="370"/>
      <c r="DO29" s="370"/>
      <c r="DP29" s="370"/>
      <c r="DQ29" s="370"/>
      <c r="DR29" s="370"/>
      <c r="DS29" s="370"/>
      <c r="DT29" s="370"/>
      <c r="DU29" s="370"/>
      <c r="DV29" s="370"/>
      <c r="DW29" s="370"/>
      <c r="DX29" s="370"/>
      <c r="DY29" s="370"/>
      <c r="DZ29" s="370"/>
      <c r="EA29" s="370"/>
      <c r="EB29" s="370"/>
      <c r="EC29" s="370"/>
      <c r="ED29" s="370"/>
      <c r="EE29" s="370"/>
      <c r="EF29" s="370"/>
      <c r="EG29" s="370"/>
      <c r="EH29" s="370"/>
      <c r="EI29" s="370"/>
      <c r="EJ29" s="370"/>
      <c r="EK29" s="370"/>
      <c r="EL29" s="370"/>
      <c r="EM29" s="370"/>
      <c r="EN29" s="370"/>
      <c r="EO29" s="370"/>
      <c r="EP29" s="370"/>
      <c r="EQ29" s="370"/>
      <c r="ER29" s="370"/>
      <c r="ES29" s="370"/>
      <c r="ET29" s="370"/>
      <c r="EU29" s="370"/>
      <c r="EV29" s="370"/>
      <c r="EW29" s="370"/>
      <c r="EX29" s="370"/>
      <c r="EY29" s="370"/>
      <c r="EZ29" s="370"/>
      <c r="FA29" s="370"/>
      <c r="FB29" s="370"/>
      <c r="FC29" s="370"/>
      <c r="FD29" s="370"/>
      <c r="FE29" s="370"/>
      <c r="FF29" s="370"/>
      <c r="FG29" s="370"/>
      <c r="FH29" s="370"/>
      <c r="FI29" s="370"/>
      <c r="FJ29" s="370"/>
      <c r="FK29" s="370"/>
      <c r="FL29" s="370"/>
      <c r="FM29" s="370"/>
      <c r="FN29" s="370"/>
      <c r="FO29" s="370"/>
      <c r="FP29" s="370"/>
      <c r="FQ29" s="370"/>
      <c r="FR29" s="370"/>
      <c r="FS29" s="370"/>
      <c r="FT29" s="370"/>
      <c r="FU29" s="370"/>
      <c r="FV29" s="370"/>
      <c r="FW29" s="370"/>
      <c r="FX29" s="370"/>
      <c r="FY29" s="370"/>
      <c r="FZ29" s="370"/>
      <c r="GA29" s="370"/>
      <c r="GB29" s="370"/>
      <c r="GC29" s="370"/>
      <c r="GD29" s="370"/>
      <c r="GE29" s="370"/>
      <c r="GF29" s="370"/>
      <c r="GG29" s="370"/>
      <c r="GH29" s="370"/>
      <c r="GI29" s="370"/>
    </row>
    <row r="30" spans="1:191" ht="56" hidden="1" x14ac:dyDescent="0.3">
      <c r="A30" s="55" t="s">
        <v>384</v>
      </c>
      <c r="B30" s="136"/>
      <c r="C30" s="50" t="s">
        <v>385</v>
      </c>
      <c r="D30" s="6" t="s">
        <v>386</v>
      </c>
      <c r="E30" s="1" t="s">
        <v>387</v>
      </c>
      <c r="F30" s="109" t="s">
        <v>388</v>
      </c>
      <c r="G30" s="118" t="s">
        <v>371</v>
      </c>
      <c r="H30" s="367"/>
      <c r="I30" s="48">
        <v>0</v>
      </c>
      <c r="J30" s="48" t="s">
        <v>371</v>
      </c>
      <c r="K30" s="118">
        <f>I30</f>
        <v>0</v>
      </c>
      <c r="L30" s="126" t="s">
        <v>389</v>
      </c>
      <c r="M30" s="129">
        <f>K30</f>
        <v>0</v>
      </c>
      <c r="N30" s="1" t="s">
        <v>390</v>
      </c>
      <c r="O30" s="1"/>
      <c r="P30" s="1"/>
      <c r="Q30" s="10"/>
      <c r="R30" s="10"/>
      <c r="S30" s="1"/>
      <c r="T30" s="94"/>
      <c r="U30" s="365"/>
      <c r="V30" s="365"/>
      <c r="W30" s="362"/>
      <c r="X30" s="362"/>
      <c r="Y30" s="365"/>
      <c r="Z30" s="364"/>
      <c r="AA30" s="11"/>
      <c r="AB30" s="11"/>
      <c r="AC30" s="25" t="s">
        <v>391</v>
      </c>
      <c r="AD30" s="276" t="s">
        <v>382</v>
      </c>
      <c r="AE30" s="136"/>
      <c r="AF30" s="97" t="s">
        <v>242</v>
      </c>
      <c r="AG30" s="134" t="s">
        <v>232</v>
      </c>
      <c r="AH30" s="8"/>
      <c r="AI30" s="8"/>
      <c r="AJ30" s="8"/>
      <c r="AK30" s="8"/>
      <c r="AL30" s="8"/>
      <c r="AM30" s="8"/>
      <c r="AN30" s="47"/>
      <c r="AO30" s="8"/>
      <c r="AP30" s="8"/>
      <c r="AQ30" s="8"/>
      <c r="AR30" s="8"/>
      <c r="AS30" s="8"/>
      <c r="AT30" s="8"/>
      <c r="AU30" s="8"/>
      <c r="AV30" s="8"/>
      <c r="AW30" s="8"/>
      <c r="AX30" s="8"/>
      <c r="AY30" s="8"/>
      <c r="AZ30" s="8"/>
      <c r="BA30" s="8"/>
      <c r="BB30" s="8"/>
      <c r="BC30" s="8"/>
      <c r="BD30" s="8"/>
      <c r="BE30" s="8"/>
      <c r="BF30" s="8"/>
      <c r="BG30" s="8"/>
      <c r="BH30" s="8"/>
      <c r="BI30" s="8"/>
      <c r="BJ30" s="11"/>
      <c r="BK30" s="11"/>
      <c r="BL30" s="288" t="b">
        <f>K30=SUM(AH30:BJ30)</f>
        <v>1</v>
      </c>
      <c r="BM30" s="348"/>
      <c r="BN30" s="360">
        <f>$U30*AH30</f>
        <v>0</v>
      </c>
      <c r="BO30" s="360">
        <f>$V30*AH30</f>
        <v>0</v>
      </c>
      <c r="BP30" s="360">
        <f>$W30*AH30</f>
        <v>0</v>
      </c>
      <c r="BQ30" s="360">
        <f>$X30*AH30</f>
        <v>0</v>
      </c>
      <c r="BR30" s="360">
        <f>$Y30*AH30</f>
        <v>0</v>
      </c>
      <c r="BS30" s="360">
        <f>$Z30*AH30</f>
        <v>0</v>
      </c>
      <c r="BT30" s="360">
        <f>$U30*AI30</f>
        <v>0</v>
      </c>
      <c r="BU30" s="360">
        <f>$V30*AI30</f>
        <v>0</v>
      </c>
      <c r="BV30" s="360">
        <f>$W30*AI30</f>
        <v>0</v>
      </c>
      <c r="BW30" s="360">
        <f>$X30*AI30</f>
        <v>0</v>
      </c>
      <c r="BX30" s="360">
        <f>$Y30*AI30</f>
        <v>0</v>
      </c>
      <c r="BY30" s="360">
        <f>$Z30*AI30</f>
        <v>0</v>
      </c>
      <c r="BZ30" s="360">
        <f>$U30*AJ30</f>
        <v>0</v>
      </c>
      <c r="CA30" s="360">
        <f>$V30*AJ30</f>
        <v>0</v>
      </c>
      <c r="CB30" s="360">
        <f>$W30*AJ30</f>
        <v>0</v>
      </c>
      <c r="CC30" s="360">
        <f>$X30*AJ30</f>
        <v>0</v>
      </c>
      <c r="CD30" s="360">
        <f>$Y30*AJ30</f>
        <v>0</v>
      </c>
      <c r="CE30" s="360">
        <f>$Z30*AJ30</f>
        <v>0</v>
      </c>
      <c r="CF30" s="360">
        <f>$U30*AK30</f>
        <v>0</v>
      </c>
      <c r="CG30" s="360">
        <f>$V30*AK30</f>
        <v>0</v>
      </c>
      <c r="CH30" s="360">
        <f>$W30*AK30</f>
        <v>0</v>
      </c>
      <c r="CI30" s="360">
        <f>$X30*AK30</f>
        <v>0</v>
      </c>
      <c r="CJ30" s="360">
        <f>$Y30*AK30</f>
        <v>0</v>
      </c>
      <c r="CK30" s="360">
        <f>$Z30*AK30</f>
        <v>0</v>
      </c>
      <c r="CL30" s="360">
        <f>$U30*AL30</f>
        <v>0</v>
      </c>
      <c r="CM30" s="360">
        <f>$V30*AL30</f>
        <v>0</v>
      </c>
      <c r="CN30" s="360">
        <f>$W30*AL30</f>
        <v>0</v>
      </c>
      <c r="CO30" s="360">
        <f>$X30*AL30</f>
        <v>0</v>
      </c>
      <c r="CP30" s="360">
        <f>$Y30*AL30</f>
        <v>0</v>
      </c>
      <c r="CQ30" s="360">
        <f>$Z30*AL30</f>
        <v>0</v>
      </c>
      <c r="CR30" s="360">
        <f>$U30*AM30</f>
        <v>0</v>
      </c>
      <c r="CS30" s="360">
        <f>$V30*AM30</f>
        <v>0</v>
      </c>
      <c r="CT30" s="360">
        <f>$W30*AM30</f>
        <v>0</v>
      </c>
      <c r="CU30" s="360">
        <f>$X30*AM30</f>
        <v>0</v>
      </c>
      <c r="CV30" s="360">
        <f>$Y30*AM30</f>
        <v>0</v>
      </c>
      <c r="CW30" s="360">
        <f>$Z30*AM30</f>
        <v>0</v>
      </c>
      <c r="CX30" s="360">
        <f>$U30*AN30</f>
        <v>0</v>
      </c>
      <c r="CY30" s="360">
        <f>$V30*AN30</f>
        <v>0</v>
      </c>
      <c r="CZ30" s="360">
        <f>$W30*AN30</f>
        <v>0</v>
      </c>
      <c r="DA30" s="360">
        <f>$X30*AN30</f>
        <v>0</v>
      </c>
      <c r="DB30" s="360">
        <f>$Y30*AN30</f>
        <v>0</v>
      </c>
      <c r="DC30" s="360">
        <f>$Z30*AN30</f>
        <v>0</v>
      </c>
      <c r="DD30" s="360">
        <f>$U30*AO30</f>
        <v>0</v>
      </c>
      <c r="DE30" s="360">
        <f>$V30*AO30</f>
        <v>0</v>
      </c>
      <c r="DF30" s="360">
        <f>$W30*AO30</f>
        <v>0</v>
      </c>
      <c r="DG30" s="360">
        <f>$X30*AO30</f>
        <v>0</v>
      </c>
      <c r="DH30" s="360">
        <f>$Y30*AO30</f>
        <v>0</v>
      </c>
      <c r="DI30" s="360">
        <f>$Z30*AO30</f>
        <v>0</v>
      </c>
      <c r="DJ30" s="359"/>
    </row>
    <row r="31" spans="1:191" ht="56" x14ac:dyDescent="0.35">
      <c r="A31" s="55" t="s">
        <v>384</v>
      </c>
      <c r="B31" s="136"/>
      <c r="C31" s="50" t="s">
        <v>392</v>
      </c>
      <c r="D31" s="6" t="s">
        <v>386</v>
      </c>
      <c r="E31" s="1" t="s">
        <v>387</v>
      </c>
      <c r="F31" s="109" t="s">
        <v>388</v>
      </c>
      <c r="G31" s="118">
        <v>25000000</v>
      </c>
      <c r="H31" s="126" t="s">
        <v>393</v>
      </c>
      <c r="I31" s="48">
        <v>0</v>
      </c>
      <c r="J31" s="48">
        <f>G31</f>
        <v>25000000</v>
      </c>
      <c r="K31" s="118">
        <f>I31</f>
        <v>0</v>
      </c>
      <c r="L31" s="126" t="s">
        <v>389</v>
      </c>
      <c r="M31" s="129">
        <f>K31</f>
        <v>0</v>
      </c>
      <c r="N31" s="1" t="s">
        <v>394</v>
      </c>
      <c r="O31" s="1"/>
      <c r="P31" s="10"/>
      <c r="Q31" s="10"/>
      <c r="R31" s="10"/>
      <c r="S31" s="1"/>
      <c r="T31" s="94"/>
      <c r="U31" s="365"/>
      <c r="V31" s="365"/>
      <c r="W31" s="362"/>
      <c r="X31" s="362"/>
      <c r="Y31" s="365"/>
      <c r="Z31" s="364"/>
      <c r="AA31" s="11"/>
      <c r="AB31" s="11"/>
      <c r="AC31" s="25" t="s">
        <v>391</v>
      </c>
      <c r="AD31" s="276" t="s">
        <v>382</v>
      </c>
      <c r="AE31" s="136"/>
      <c r="AF31" s="97" t="s">
        <v>242</v>
      </c>
      <c r="AG31" s="134" t="s">
        <v>232</v>
      </c>
      <c r="AH31" s="8"/>
      <c r="AI31" s="8"/>
      <c r="AJ31" s="8"/>
      <c r="AK31" s="8"/>
      <c r="AL31" s="8"/>
      <c r="AM31" s="8"/>
      <c r="AN31" s="47"/>
      <c r="AO31" s="8"/>
      <c r="AP31" s="8"/>
      <c r="AQ31" s="8"/>
      <c r="AR31" s="8"/>
      <c r="AS31" s="8"/>
      <c r="AT31" s="8"/>
      <c r="AU31" s="8"/>
      <c r="AV31" s="8"/>
      <c r="AW31" s="8"/>
      <c r="AX31" s="8"/>
      <c r="AY31" s="8"/>
      <c r="AZ31" s="8"/>
      <c r="BA31" s="8"/>
      <c r="BB31" s="8"/>
      <c r="BC31" s="8"/>
      <c r="BD31" s="8"/>
      <c r="BE31" s="8"/>
      <c r="BF31" s="8"/>
      <c r="BG31" s="8"/>
      <c r="BH31" s="8"/>
      <c r="BI31" s="8"/>
      <c r="BJ31" s="11"/>
      <c r="BK31" s="11"/>
      <c r="BL31" s="288" t="b">
        <f>K31=SUM(AH31:BJ31)</f>
        <v>1</v>
      </c>
      <c r="BN31" s="360">
        <f>$U31*AH31</f>
        <v>0</v>
      </c>
      <c r="BO31" s="360">
        <f>$V31*AH31</f>
        <v>0</v>
      </c>
      <c r="BP31" s="360">
        <f>$W31*AH31</f>
        <v>0</v>
      </c>
      <c r="BQ31" s="360">
        <f>$X31*AH31</f>
        <v>0</v>
      </c>
      <c r="BR31" s="360">
        <f>$Y31*AH31</f>
        <v>0</v>
      </c>
      <c r="BS31" s="360">
        <f>$Z31*AH31</f>
        <v>0</v>
      </c>
      <c r="BT31" s="360">
        <f>$U31*AI31</f>
        <v>0</v>
      </c>
      <c r="BU31" s="360">
        <f>$V31*AI31</f>
        <v>0</v>
      </c>
      <c r="BV31" s="360">
        <f>$W31*AI31</f>
        <v>0</v>
      </c>
      <c r="BW31" s="360">
        <f>$X31*AI31</f>
        <v>0</v>
      </c>
      <c r="BX31" s="360">
        <f>$Y31*AI31</f>
        <v>0</v>
      </c>
      <c r="BY31" s="360">
        <f>$Z31*AI31</f>
        <v>0</v>
      </c>
      <c r="BZ31" s="360">
        <f>$U31*AJ31</f>
        <v>0</v>
      </c>
      <c r="CA31" s="360">
        <f>$V31*AJ31</f>
        <v>0</v>
      </c>
      <c r="CB31" s="360">
        <f>$W31*AJ31</f>
        <v>0</v>
      </c>
      <c r="CC31" s="360">
        <f>$X31*AJ31</f>
        <v>0</v>
      </c>
      <c r="CD31" s="360">
        <f>$Y31*AJ31</f>
        <v>0</v>
      </c>
      <c r="CE31" s="360">
        <f>$Z31*AJ31</f>
        <v>0</v>
      </c>
      <c r="CF31" s="360">
        <f>$U31*AK31</f>
        <v>0</v>
      </c>
      <c r="CG31" s="360">
        <f>$V31*AK31</f>
        <v>0</v>
      </c>
      <c r="CH31" s="360">
        <f>$W31*AK31</f>
        <v>0</v>
      </c>
      <c r="CI31" s="360">
        <f>$X31*AK31</f>
        <v>0</v>
      </c>
      <c r="CJ31" s="360">
        <f>$Y31*AK31</f>
        <v>0</v>
      </c>
      <c r="CK31" s="360">
        <f>$Z31*AK31</f>
        <v>0</v>
      </c>
      <c r="CL31" s="360">
        <f>$U31*AL31</f>
        <v>0</v>
      </c>
      <c r="CM31" s="360">
        <f>$V31*AL31</f>
        <v>0</v>
      </c>
      <c r="CN31" s="360">
        <f>$W31*AL31</f>
        <v>0</v>
      </c>
      <c r="CO31" s="360">
        <f>$X31*AL31</f>
        <v>0</v>
      </c>
      <c r="CP31" s="360">
        <f>$Y31*AL31</f>
        <v>0</v>
      </c>
      <c r="CQ31" s="360">
        <f>$Z31*AL31</f>
        <v>0</v>
      </c>
      <c r="CR31" s="360">
        <f>$U31*AM31</f>
        <v>0</v>
      </c>
      <c r="CS31" s="360">
        <f>$V31*AM31</f>
        <v>0</v>
      </c>
      <c r="CT31" s="360">
        <f>$W31*AM31</f>
        <v>0</v>
      </c>
      <c r="CU31" s="360">
        <f>$X31*AM31</f>
        <v>0</v>
      </c>
      <c r="CV31" s="360">
        <f>$Y31*AM31</f>
        <v>0</v>
      </c>
      <c r="CW31" s="360">
        <f>$Z31*AM31</f>
        <v>0</v>
      </c>
      <c r="CX31" s="360">
        <f>$U31*AN31</f>
        <v>0</v>
      </c>
      <c r="CY31" s="360">
        <f>$V31*AN31</f>
        <v>0</v>
      </c>
      <c r="CZ31" s="360">
        <f>$W31*AN31</f>
        <v>0</v>
      </c>
      <c r="DA31" s="360">
        <f>$X31*AN31</f>
        <v>0</v>
      </c>
      <c r="DB31" s="360">
        <f>$Y31*AN31</f>
        <v>0</v>
      </c>
      <c r="DC31" s="360">
        <f>$Z31*AN31</f>
        <v>0</v>
      </c>
      <c r="DD31" s="360">
        <f>$U31*AO31</f>
        <v>0</v>
      </c>
      <c r="DE31" s="360">
        <f>$V31*AO31</f>
        <v>0</v>
      </c>
      <c r="DF31" s="360">
        <f>$W31*AO31</f>
        <v>0</v>
      </c>
      <c r="DG31" s="360">
        <f>$X31*AO31</f>
        <v>0</v>
      </c>
      <c r="DH31" s="360">
        <f>$Y31*AO31</f>
        <v>0</v>
      </c>
      <c r="DI31" s="360">
        <f>$Z31*AO31</f>
        <v>0</v>
      </c>
      <c r="DJ31" s="359"/>
    </row>
    <row r="32" spans="1:191" s="374" customFormat="1" ht="14" x14ac:dyDescent="0.3">
      <c r="A32" s="43" t="s">
        <v>395</v>
      </c>
      <c r="B32" s="138"/>
      <c r="C32" s="37"/>
      <c r="D32" s="14"/>
      <c r="E32" s="14"/>
      <c r="F32" s="128"/>
      <c r="G32" s="184"/>
      <c r="H32" s="141"/>
      <c r="I32" s="51"/>
      <c r="J32" s="51"/>
      <c r="K32" s="51"/>
      <c r="L32" s="37"/>
      <c r="M32" s="379"/>
      <c r="N32" s="14"/>
      <c r="O32" s="14"/>
      <c r="P32" s="14"/>
      <c r="Q32" s="14"/>
      <c r="R32" s="14"/>
      <c r="S32" s="14"/>
      <c r="T32" s="128"/>
      <c r="U32" s="378"/>
      <c r="V32" s="378"/>
      <c r="W32" s="378"/>
      <c r="X32" s="378"/>
      <c r="Y32" s="378"/>
      <c r="Z32" s="377"/>
      <c r="AA32" s="37"/>
      <c r="AB32" s="43"/>
      <c r="AC32" s="37"/>
      <c r="AD32" s="37"/>
      <c r="AE32" s="376"/>
      <c r="AF32" s="43"/>
      <c r="AG32" s="37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288"/>
      <c r="BM32" s="370"/>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359"/>
      <c r="DK32" s="370"/>
      <c r="DL32" s="370"/>
      <c r="DM32" s="370"/>
      <c r="DN32" s="370"/>
      <c r="DO32" s="370"/>
      <c r="DP32" s="370"/>
      <c r="DQ32" s="370"/>
      <c r="DR32" s="370"/>
      <c r="DS32" s="370"/>
      <c r="DT32" s="370"/>
      <c r="DU32" s="370"/>
      <c r="DV32" s="370"/>
      <c r="DW32" s="370"/>
      <c r="DX32" s="370"/>
      <c r="DY32" s="370"/>
      <c r="DZ32" s="370"/>
      <c r="EA32" s="370"/>
      <c r="EB32" s="370"/>
      <c r="EC32" s="370"/>
      <c r="ED32" s="370"/>
      <c r="EE32" s="370"/>
      <c r="EF32" s="370"/>
      <c r="EG32" s="370"/>
      <c r="EH32" s="370"/>
      <c r="EI32" s="370"/>
      <c r="EJ32" s="370"/>
      <c r="EK32" s="370"/>
      <c r="EL32" s="370"/>
      <c r="EM32" s="370"/>
      <c r="EN32" s="370"/>
      <c r="EO32" s="370"/>
      <c r="EP32" s="370"/>
      <c r="EQ32" s="370"/>
      <c r="ER32" s="370"/>
      <c r="ES32" s="370"/>
      <c r="ET32" s="370"/>
      <c r="EU32" s="370"/>
      <c r="EV32" s="370"/>
      <c r="EW32" s="370"/>
      <c r="EX32" s="370"/>
      <c r="EY32" s="370"/>
      <c r="EZ32" s="370"/>
      <c r="FA32" s="370"/>
      <c r="FB32" s="370"/>
      <c r="FC32" s="370"/>
      <c r="FD32" s="370"/>
      <c r="FE32" s="370"/>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370"/>
      <c r="GE32" s="370"/>
      <c r="GF32" s="370"/>
      <c r="GG32" s="370"/>
      <c r="GH32" s="370"/>
      <c r="GI32" s="370"/>
    </row>
    <row r="33" spans="1:114" s="370" customFormat="1" ht="172.5" customHeight="1" x14ac:dyDescent="0.3">
      <c r="A33" s="55" t="s">
        <v>396</v>
      </c>
      <c r="B33" s="139"/>
      <c r="C33" s="11" t="s">
        <v>397</v>
      </c>
      <c r="D33" s="56" t="s">
        <v>281</v>
      </c>
      <c r="E33" s="1" t="s">
        <v>398</v>
      </c>
      <c r="F33" s="94" t="s">
        <v>399</v>
      </c>
      <c r="G33" s="118">
        <f>170011083-2500000-G26</f>
        <v>157161083</v>
      </c>
      <c r="H33" s="126" t="s">
        <v>400</v>
      </c>
      <c r="I33" s="48">
        <v>0</v>
      </c>
      <c r="J33" s="48">
        <f>G33-I33</f>
        <v>157161083</v>
      </c>
      <c r="K33" s="118">
        <f>J33-28250000</f>
        <v>128911083</v>
      </c>
      <c r="L33" s="126" t="s">
        <v>401</v>
      </c>
      <c r="M33" s="129">
        <f>J33-K33</f>
        <v>28250000</v>
      </c>
      <c r="N33" s="6" t="s">
        <v>402</v>
      </c>
      <c r="O33" s="10"/>
      <c r="P33" s="10"/>
      <c r="Q33" s="10"/>
      <c r="R33" s="6"/>
      <c r="S33" s="6"/>
      <c r="T33" s="109"/>
      <c r="U33" s="362"/>
      <c r="V33" s="362">
        <v>0.5</v>
      </c>
      <c r="W33" s="362">
        <v>0.5</v>
      </c>
      <c r="X33" s="245"/>
      <c r="Y33" s="245"/>
      <c r="Z33" s="246"/>
      <c r="AA33" s="11" t="s">
        <v>403</v>
      </c>
      <c r="AB33" s="373"/>
      <c r="AC33" s="11" t="s">
        <v>404</v>
      </c>
      <c r="AD33" s="275" t="s">
        <v>346</v>
      </c>
      <c r="AE33" s="372"/>
      <c r="AF33" s="97" t="s">
        <v>242</v>
      </c>
      <c r="AG33" s="134" t="s">
        <v>293</v>
      </c>
      <c r="AH33" s="87">
        <f>$K$33*'[1]Apportionment %'!C8</f>
        <v>5625047.2568070749</v>
      </c>
      <c r="AI33" s="87">
        <f>$K$33*'[1]Apportionment %'!D8</f>
        <v>19500163.82359786</v>
      </c>
      <c r="AJ33" s="87">
        <f>$K$33*'[1]Apportionment %'!E8</f>
        <v>7875066.1595299039</v>
      </c>
      <c r="AK33" s="87">
        <f>$K$33*'[1]Apportionment %'!F8</f>
        <v>6052550.8483244125</v>
      </c>
      <c r="AL33" s="87">
        <f>$K$33*'[1]Apportionment %'!G8</f>
        <v>9982583.8650802895</v>
      </c>
      <c r="AM33" s="87">
        <f>$K$33*'[1]Apportionment %'!H8</f>
        <v>63750535.577146851</v>
      </c>
      <c r="AN33" s="87">
        <f>$K$33*'[1]Apportionment %'!I8</f>
        <v>11250094.51361415</v>
      </c>
      <c r="AO33" s="87">
        <f>$K$33*'[1]Apportionment %'!J8</f>
        <v>4875040.9558994649</v>
      </c>
      <c r="AP33" s="8"/>
      <c r="AQ33" s="8"/>
      <c r="AR33" s="8"/>
      <c r="AS33" s="8"/>
      <c r="AT33" s="8"/>
      <c r="AU33" s="8"/>
      <c r="AV33" s="8"/>
      <c r="AW33" s="8"/>
      <c r="AX33" s="8"/>
      <c r="AY33" s="8"/>
      <c r="AZ33" s="8"/>
      <c r="BA33" s="8"/>
      <c r="BB33" s="8"/>
      <c r="BC33" s="8"/>
      <c r="BD33" s="8"/>
      <c r="BE33" s="8"/>
      <c r="BF33" s="8"/>
      <c r="BG33" s="8"/>
      <c r="BH33" s="8"/>
      <c r="BI33" s="8"/>
      <c r="BJ33" s="371"/>
      <c r="BK33" s="371"/>
      <c r="BL33" s="288" t="b">
        <f t="shared" ref="BL33:BL39" si="55">K33=SUM(AH33:BJ33)</f>
        <v>1</v>
      </c>
      <c r="BN33" s="360">
        <f t="shared" ref="BN33:BN41" si="56">$U33*AH33</f>
        <v>0</v>
      </c>
      <c r="BO33" s="360">
        <f t="shared" ref="BO33:BO41" si="57">$V33*AH33</f>
        <v>2812523.6284035374</v>
      </c>
      <c r="BP33" s="360">
        <f t="shared" ref="BP33:BP41" si="58">$W33*AH33</f>
        <v>2812523.6284035374</v>
      </c>
      <c r="BQ33" s="360">
        <f t="shared" ref="BQ33:BQ41" si="59">$X33*AH33</f>
        <v>0</v>
      </c>
      <c r="BR33" s="360">
        <f t="shared" ref="BR33:BR41" si="60">$Y33*AH33</f>
        <v>0</v>
      </c>
      <c r="BS33" s="360">
        <f t="shared" ref="BS33:BS41" si="61">$Z33*AH33</f>
        <v>0</v>
      </c>
      <c r="BT33" s="360">
        <f t="shared" ref="BT33:BT41" si="62">$U33*AI33</f>
        <v>0</v>
      </c>
      <c r="BU33" s="360">
        <f t="shared" ref="BU33:BU41" si="63">$V33*AI33</f>
        <v>9750081.9117989298</v>
      </c>
      <c r="BV33" s="360">
        <f t="shared" ref="BV33:BV41" si="64">$W33*AI33</f>
        <v>9750081.9117989298</v>
      </c>
      <c r="BW33" s="360">
        <f t="shared" ref="BW33:BW41" si="65">$X33*AI33</f>
        <v>0</v>
      </c>
      <c r="BX33" s="360">
        <f t="shared" ref="BX33:BX41" si="66">$Y33*AI33</f>
        <v>0</v>
      </c>
      <c r="BY33" s="360">
        <f t="shared" ref="BY33:BY41" si="67">$Z33*AI33</f>
        <v>0</v>
      </c>
      <c r="BZ33" s="360">
        <f t="shared" ref="BZ33:BZ41" si="68">$U33*AJ33</f>
        <v>0</v>
      </c>
      <c r="CA33" s="360">
        <f t="shared" ref="CA33:CA41" si="69">$V33*AJ33</f>
        <v>3937533.079764952</v>
      </c>
      <c r="CB33" s="360">
        <f t="shared" ref="CB33:CB41" si="70">$W33*AJ33</f>
        <v>3937533.079764952</v>
      </c>
      <c r="CC33" s="360">
        <f t="shared" ref="CC33:CC41" si="71">$X33*AJ33</f>
        <v>0</v>
      </c>
      <c r="CD33" s="360">
        <f t="shared" ref="CD33:CD41" si="72">$Y33*AJ33</f>
        <v>0</v>
      </c>
      <c r="CE33" s="360">
        <f t="shared" ref="CE33:CE41" si="73">$Z33*AJ33</f>
        <v>0</v>
      </c>
      <c r="CF33" s="360">
        <f t="shared" ref="CF33:CF41" si="74">$U33*AK33</f>
        <v>0</v>
      </c>
      <c r="CG33" s="360">
        <f t="shared" ref="CG33:CG41" si="75">$V33*AK33</f>
        <v>3026275.4241622062</v>
      </c>
      <c r="CH33" s="360">
        <f t="shared" ref="CH33:CH41" si="76">$W33*AK33</f>
        <v>3026275.4241622062</v>
      </c>
      <c r="CI33" s="360">
        <f t="shared" ref="CI33:CI41" si="77">$X33*AK33</f>
        <v>0</v>
      </c>
      <c r="CJ33" s="360">
        <f t="shared" ref="CJ33:CJ41" si="78">$Y33*AK33</f>
        <v>0</v>
      </c>
      <c r="CK33" s="360">
        <f t="shared" ref="CK33:CK41" si="79">$Z33*AK33</f>
        <v>0</v>
      </c>
      <c r="CL33" s="360">
        <f t="shared" ref="CL33:CL41" si="80">$U33*AL33</f>
        <v>0</v>
      </c>
      <c r="CM33" s="360">
        <f t="shared" ref="CM33:CM41" si="81">$V33*AL33</f>
        <v>4991291.9325401448</v>
      </c>
      <c r="CN33" s="360">
        <f t="shared" ref="CN33:CN41" si="82">$W33*AL33</f>
        <v>4991291.9325401448</v>
      </c>
      <c r="CO33" s="360">
        <f t="shared" ref="CO33:CO41" si="83">$X33*AL33</f>
        <v>0</v>
      </c>
      <c r="CP33" s="360">
        <f t="shared" ref="CP33:CP41" si="84">$Y33*AL33</f>
        <v>0</v>
      </c>
      <c r="CQ33" s="360">
        <f t="shared" ref="CQ33:CQ41" si="85">$Z33*AL33</f>
        <v>0</v>
      </c>
      <c r="CR33" s="360">
        <f t="shared" ref="CR33:CR41" si="86">$U33*AM33</f>
        <v>0</v>
      </c>
      <c r="CS33" s="360">
        <f t="shared" ref="CS33:CS41" si="87">$V33*AM33</f>
        <v>31875267.788573425</v>
      </c>
      <c r="CT33" s="360">
        <f t="shared" ref="CT33:CT41" si="88">$W33*AM33</f>
        <v>31875267.788573425</v>
      </c>
      <c r="CU33" s="360">
        <f t="shared" ref="CU33:CU41" si="89">$X33*AM33</f>
        <v>0</v>
      </c>
      <c r="CV33" s="360">
        <f t="shared" ref="CV33:CV41" si="90">$Y33*AM33</f>
        <v>0</v>
      </c>
      <c r="CW33" s="360">
        <f t="shared" ref="CW33:CW41" si="91">$Z33*AM33</f>
        <v>0</v>
      </c>
      <c r="CX33" s="360">
        <f t="shared" ref="CX33:CX41" si="92">$U33*AN33</f>
        <v>0</v>
      </c>
      <c r="CY33" s="360">
        <f t="shared" ref="CY33:CY41" si="93">$V33*AN33</f>
        <v>5625047.2568070749</v>
      </c>
      <c r="CZ33" s="360">
        <f t="shared" ref="CZ33:CZ41" si="94">$W33*AN33</f>
        <v>5625047.2568070749</v>
      </c>
      <c r="DA33" s="360">
        <f t="shared" ref="DA33:DA41" si="95">$X33*AN33</f>
        <v>0</v>
      </c>
      <c r="DB33" s="360">
        <f t="shared" ref="DB33:DB41" si="96">$Y33*AN33</f>
        <v>0</v>
      </c>
      <c r="DC33" s="360">
        <f t="shared" ref="DC33:DC41" si="97">$Z33*AN33</f>
        <v>0</v>
      </c>
      <c r="DD33" s="360">
        <f t="shared" ref="DD33:DD41" si="98">$U33*AO33</f>
        <v>0</v>
      </c>
      <c r="DE33" s="360">
        <f t="shared" ref="DE33:DE41" si="99">$V33*AO33</f>
        <v>2437520.4779497324</v>
      </c>
      <c r="DF33" s="360">
        <f t="shared" ref="DF33:DF41" si="100">$W33*AO33</f>
        <v>2437520.4779497324</v>
      </c>
      <c r="DG33" s="360">
        <f t="shared" ref="DG33:DG41" si="101">$X33*AO33</f>
        <v>0</v>
      </c>
      <c r="DH33" s="360">
        <f t="shared" ref="DH33:DH41" si="102">$Y33*AO33</f>
        <v>0</v>
      </c>
      <c r="DI33" s="360">
        <f t="shared" ref="DI33:DI41" si="103">$Z33*AO33</f>
        <v>0</v>
      </c>
      <c r="DJ33" s="359"/>
    </row>
    <row r="34" spans="1:114" ht="28" x14ac:dyDescent="0.35">
      <c r="A34" s="55" t="s">
        <v>405</v>
      </c>
      <c r="B34" s="136" t="s">
        <v>406</v>
      </c>
      <c r="C34" s="50" t="s">
        <v>407</v>
      </c>
      <c r="D34" s="265" t="s">
        <v>297</v>
      </c>
      <c r="E34" s="1" t="s">
        <v>408</v>
      </c>
      <c r="F34" s="94" t="s">
        <v>408</v>
      </c>
      <c r="G34" s="118" t="s">
        <v>371</v>
      </c>
      <c r="H34" s="126"/>
      <c r="I34" s="48">
        <v>0</v>
      </c>
      <c r="J34" s="272" t="s">
        <v>371</v>
      </c>
      <c r="K34" s="118" t="s">
        <v>371</v>
      </c>
      <c r="L34" s="126"/>
      <c r="M34" s="363" t="s">
        <v>371</v>
      </c>
      <c r="N34" s="1" t="s">
        <v>308</v>
      </c>
      <c r="O34" s="10"/>
      <c r="P34" s="369"/>
      <c r="Q34" s="1"/>
      <c r="R34" s="1"/>
      <c r="S34" s="1"/>
      <c r="T34" s="94"/>
      <c r="U34" s="362">
        <v>1</v>
      </c>
      <c r="V34" s="368"/>
      <c r="W34" s="365"/>
      <c r="X34" s="365"/>
      <c r="Y34" s="365"/>
      <c r="Z34" s="364"/>
      <c r="AA34" s="11"/>
      <c r="AB34" s="11" t="s">
        <v>309</v>
      </c>
      <c r="AC34" s="25" t="s">
        <v>276</v>
      </c>
      <c r="AD34" s="274" t="s">
        <v>241</v>
      </c>
      <c r="AE34" s="136"/>
      <c r="AF34" s="97" t="s">
        <v>242</v>
      </c>
      <c r="AG34" s="134" t="s">
        <v>293</v>
      </c>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11"/>
      <c r="BK34" s="11"/>
      <c r="BL34" s="288" t="b">
        <f t="shared" si="55"/>
        <v>0</v>
      </c>
      <c r="BN34" s="360">
        <f t="shared" si="56"/>
        <v>0</v>
      </c>
      <c r="BO34" s="360">
        <f t="shared" si="57"/>
        <v>0</v>
      </c>
      <c r="BP34" s="360">
        <f t="shared" si="58"/>
        <v>0</v>
      </c>
      <c r="BQ34" s="360">
        <f t="shared" si="59"/>
        <v>0</v>
      </c>
      <c r="BR34" s="360">
        <f t="shared" si="60"/>
        <v>0</v>
      </c>
      <c r="BS34" s="360">
        <f t="shared" si="61"/>
        <v>0</v>
      </c>
      <c r="BT34" s="360">
        <f t="shared" si="62"/>
        <v>0</v>
      </c>
      <c r="BU34" s="360">
        <f t="shared" si="63"/>
        <v>0</v>
      </c>
      <c r="BV34" s="360">
        <f t="shared" si="64"/>
        <v>0</v>
      </c>
      <c r="BW34" s="360">
        <f t="shared" si="65"/>
        <v>0</v>
      </c>
      <c r="BX34" s="360">
        <f t="shared" si="66"/>
        <v>0</v>
      </c>
      <c r="BY34" s="360">
        <f t="shared" si="67"/>
        <v>0</v>
      </c>
      <c r="BZ34" s="360">
        <f t="shared" si="68"/>
        <v>0</v>
      </c>
      <c r="CA34" s="360">
        <f t="shared" si="69"/>
        <v>0</v>
      </c>
      <c r="CB34" s="360">
        <f t="shared" si="70"/>
        <v>0</v>
      </c>
      <c r="CC34" s="360">
        <f t="shared" si="71"/>
        <v>0</v>
      </c>
      <c r="CD34" s="360">
        <f t="shared" si="72"/>
        <v>0</v>
      </c>
      <c r="CE34" s="360">
        <f t="shared" si="73"/>
        <v>0</v>
      </c>
      <c r="CF34" s="360">
        <f t="shared" si="74"/>
        <v>0</v>
      </c>
      <c r="CG34" s="360">
        <f t="shared" si="75"/>
        <v>0</v>
      </c>
      <c r="CH34" s="360">
        <f t="shared" si="76"/>
        <v>0</v>
      </c>
      <c r="CI34" s="360">
        <f t="shared" si="77"/>
        <v>0</v>
      </c>
      <c r="CJ34" s="360">
        <f t="shared" si="78"/>
        <v>0</v>
      </c>
      <c r="CK34" s="360">
        <f t="shared" si="79"/>
        <v>0</v>
      </c>
      <c r="CL34" s="360">
        <f t="shared" si="80"/>
        <v>0</v>
      </c>
      <c r="CM34" s="360">
        <f t="shared" si="81"/>
        <v>0</v>
      </c>
      <c r="CN34" s="360">
        <f t="shared" si="82"/>
        <v>0</v>
      </c>
      <c r="CO34" s="360">
        <f t="shared" si="83"/>
        <v>0</v>
      </c>
      <c r="CP34" s="360">
        <f t="shared" si="84"/>
        <v>0</v>
      </c>
      <c r="CQ34" s="360">
        <f t="shared" si="85"/>
        <v>0</v>
      </c>
      <c r="CR34" s="360">
        <f t="shared" si="86"/>
        <v>0</v>
      </c>
      <c r="CS34" s="360">
        <f t="shared" si="87"/>
        <v>0</v>
      </c>
      <c r="CT34" s="360">
        <f t="shared" si="88"/>
        <v>0</v>
      </c>
      <c r="CU34" s="360">
        <f t="shared" si="89"/>
        <v>0</v>
      </c>
      <c r="CV34" s="360">
        <f t="shared" si="90"/>
        <v>0</v>
      </c>
      <c r="CW34" s="360">
        <f t="shared" si="91"/>
        <v>0</v>
      </c>
      <c r="CX34" s="360">
        <f t="shared" si="92"/>
        <v>0</v>
      </c>
      <c r="CY34" s="360">
        <f t="shared" si="93"/>
        <v>0</v>
      </c>
      <c r="CZ34" s="360">
        <f t="shared" si="94"/>
        <v>0</v>
      </c>
      <c r="DA34" s="360">
        <f t="shared" si="95"/>
        <v>0</v>
      </c>
      <c r="DB34" s="360">
        <f t="shared" si="96"/>
        <v>0</v>
      </c>
      <c r="DC34" s="360">
        <f t="shared" si="97"/>
        <v>0</v>
      </c>
      <c r="DD34" s="360">
        <f t="shared" si="98"/>
        <v>0</v>
      </c>
      <c r="DE34" s="360">
        <f t="shared" si="99"/>
        <v>0</v>
      </c>
      <c r="DF34" s="360">
        <f t="shared" si="100"/>
        <v>0</v>
      </c>
      <c r="DG34" s="360">
        <f t="shared" si="101"/>
        <v>0</v>
      </c>
      <c r="DH34" s="360">
        <f t="shared" si="102"/>
        <v>0</v>
      </c>
      <c r="DI34" s="360">
        <f t="shared" si="103"/>
        <v>0</v>
      </c>
      <c r="DJ34" s="359"/>
    </row>
    <row r="35" spans="1:114" ht="28" x14ac:dyDescent="0.35">
      <c r="A35" s="55" t="s">
        <v>409</v>
      </c>
      <c r="B35" s="136" t="s">
        <v>410</v>
      </c>
      <c r="C35" s="50" t="s">
        <v>411</v>
      </c>
      <c r="D35" s="265" t="s">
        <v>297</v>
      </c>
      <c r="E35" s="1" t="s">
        <v>412</v>
      </c>
      <c r="F35" s="94" t="s">
        <v>341</v>
      </c>
      <c r="G35" s="118" t="s">
        <v>371</v>
      </c>
      <c r="H35" s="126"/>
      <c r="I35" s="48">
        <v>0</v>
      </c>
      <c r="J35" s="272" t="s">
        <v>371</v>
      </c>
      <c r="K35" s="118" t="s">
        <v>371</v>
      </c>
      <c r="L35" s="126"/>
      <c r="M35" s="363" t="s">
        <v>371</v>
      </c>
      <c r="N35" s="1" t="s">
        <v>316</v>
      </c>
      <c r="O35" s="1"/>
      <c r="P35" s="10"/>
      <c r="Q35" s="1"/>
      <c r="R35" s="1"/>
      <c r="S35" s="1"/>
      <c r="T35" s="94"/>
      <c r="U35" s="365"/>
      <c r="V35" s="362">
        <v>1</v>
      </c>
      <c r="W35" s="365"/>
      <c r="X35" s="365"/>
      <c r="Y35" s="365"/>
      <c r="Z35" s="364"/>
      <c r="AA35" s="11"/>
      <c r="AB35" s="11" t="s">
        <v>309</v>
      </c>
      <c r="AC35" s="25" t="s">
        <v>276</v>
      </c>
      <c r="AD35" s="274" t="s">
        <v>241</v>
      </c>
      <c r="AE35" s="136"/>
      <c r="AF35" s="97" t="s">
        <v>242</v>
      </c>
      <c r="AG35" s="134" t="s">
        <v>293</v>
      </c>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11"/>
      <c r="BK35" s="11"/>
      <c r="BL35" s="288" t="b">
        <f t="shared" si="55"/>
        <v>0</v>
      </c>
      <c r="BN35" s="360">
        <f t="shared" si="56"/>
        <v>0</v>
      </c>
      <c r="BO35" s="360">
        <f t="shared" si="57"/>
        <v>0</v>
      </c>
      <c r="BP35" s="360">
        <f t="shared" si="58"/>
        <v>0</v>
      </c>
      <c r="BQ35" s="360">
        <f t="shared" si="59"/>
        <v>0</v>
      </c>
      <c r="BR35" s="360">
        <f t="shared" si="60"/>
        <v>0</v>
      </c>
      <c r="BS35" s="360">
        <f t="shared" si="61"/>
        <v>0</v>
      </c>
      <c r="BT35" s="360">
        <f t="shared" si="62"/>
        <v>0</v>
      </c>
      <c r="BU35" s="360">
        <f t="shared" si="63"/>
        <v>0</v>
      </c>
      <c r="BV35" s="360">
        <f t="shared" si="64"/>
        <v>0</v>
      </c>
      <c r="BW35" s="360">
        <f t="shared" si="65"/>
        <v>0</v>
      </c>
      <c r="BX35" s="360">
        <f t="shared" si="66"/>
        <v>0</v>
      </c>
      <c r="BY35" s="360">
        <f t="shared" si="67"/>
        <v>0</v>
      </c>
      <c r="BZ35" s="360">
        <f t="shared" si="68"/>
        <v>0</v>
      </c>
      <c r="CA35" s="360">
        <f t="shared" si="69"/>
        <v>0</v>
      </c>
      <c r="CB35" s="360">
        <f t="shared" si="70"/>
        <v>0</v>
      </c>
      <c r="CC35" s="360">
        <f t="shared" si="71"/>
        <v>0</v>
      </c>
      <c r="CD35" s="360">
        <f t="shared" si="72"/>
        <v>0</v>
      </c>
      <c r="CE35" s="360">
        <f t="shared" si="73"/>
        <v>0</v>
      </c>
      <c r="CF35" s="360">
        <f t="shared" si="74"/>
        <v>0</v>
      </c>
      <c r="CG35" s="360">
        <f t="shared" si="75"/>
        <v>0</v>
      </c>
      <c r="CH35" s="360">
        <f t="shared" si="76"/>
        <v>0</v>
      </c>
      <c r="CI35" s="360">
        <f t="shared" si="77"/>
        <v>0</v>
      </c>
      <c r="CJ35" s="360">
        <f t="shared" si="78"/>
        <v>0</v>
      </c>
      <c r="CK35" s="360">
        <f t="shared" si="79"/>
        <v>0</v>
      </c>
      <c r="CL35" s="360">
        <f t="shared" si="80"/>
        <v>0</v>
      </c>
      <c r="CM35" s="360">
        <f t="shared" si="81"/>
        <v>0</v>
      </c>
      <c r="CN35" s="360">
        <f t="shared" si="82"/>
        <v>0</v>
      </c>
      <c r="CO35" s="360">
        <f t="shared" si="83"/>
        <v>0</v>
      </c>
      <c r="CP35" s="360">
        <f t="shared" si="84"/>
        <v>0</v>
      </c>
      <c r="CQ35" s="360">
        <f t="shared" si="85"/>
        <v>0</v>
      </c>
      <c r="CR35" s="360">
        <f t="shared" si="86"/>
        <v>0</v>
      </c>
      <c r="CS35" s="360">
        <f t="shared" si="87"/>
        <v>0</v>
      </c>
      <c r="CT35" s="360">
        <f t="shared" si="88"/>
        <v>0</v>
      </c>
      <c r="CU35" s="360">
        <f t="shared" si="89"/>
        <v>0</v>
      </c>
      <c r="CV35" s="360">
        <f t="shared" si="90"/>
        <v>0</v>
      </c>
      <c r="CW35" s="360">
        <f t="shared" si="91"/>
        <v>0</v>
      </c>
      <c r="CX35" s="360">
        <f t="shared" si="92"/>
        <v>0</v>
      </c>
      <c r="CY35" s="360">
        <f t="shared" si="93"/>
        <v>0</v>
      </c>
      <c r="CZ35" s="360">
        <f t="shared" si="94"/>
        <v>0</v>
      </c>
      <c r="DA35" s="360">
        <f t="shared" si="95"/>
        <v>0</v>
      </c>
      <c r="DB35" s="360">
        <f t="shared" si="96"/>
        <v>0</v>
      </c>
      <c r="DC35" s="360">
        <f t="shared" si="97"/>
        <v>0</v>
      </c>
      <c r="DD35" s="360">
        <f t="shared" si="98"/>
        <v>0</v>
      </c>
      <c r="DE35" s="360">
        <f t="shared" si="99"/>
        <v>0</v>
      </c>
      <c r="DF35" s="360">
        <f t="shared" si="100"/>
        <v>0</v>
      </c>
      <c r="DG35" s="360">
        <f t="shared" si="101"/>
        <v>0</v>
      </c>
      <c r="DH35" s="360">
        <f t="shared" si="102"/>
        <v>0</v>
      </c>
      <c r="DI35" s="360">
        <f t="shared" si="103"/>
        <v>0</v>
      </c>
      <c r="DJ35" s="359"/>
    </row>
    <row r="36" spans="1:114" ht="42" x14ac:dyDescent="0.35">
      <c r="A36" s="55" t="s">
        <v>413</v>
      </c>
      <c r="B36" s="136"/>
      <c r="C36" s="50" t="s">
        <v>414</v>
      </c>
      <c r="D36" s="265" t="s">
        <v>297</v>
      </c>
      <c r="E36" s="1" t="s">
        <v>289</v>
      </c>
      <c r="F36" s="94" t="s">
        <v>289</v>
      </c>
      <c r="G36" s="124">
        <v>600000</v>
      </c>
      <c r="H36" s="126" t="s">
        <v>415</v>
      </c>
      <c r="I36" s="48">
        <v>0</v>
      </c>
      <c r="J36" s="48">
        <f>G36</f>
        <v>600000</v>
      </c>
      <c r="K36" s="124">
        <f>J36</f>
        <v>600000</v>
      </c>
      <c r="L36" s="367" t="s">
        <v>274</v>
      </c>
      <c r="M36" s="129">
        <f>J36-K36</f>
        <v>0</v>
      </c>
      <c r="N36" s="1" t="s">
        <v>265</v>
      </c>
      <c r="O36" s="1"/>
      <c r="P36" s="10"/>
      <c r="Q36" s="10"/>
      <c r="R36" s="1"/>
      <c r="S36" s="1"/>
      <c r="T36" s="94"/>
      <c r="U36" s="365"/>
      <c r="V36" s="362">
        <v>1</v>
      </c>
      <c r="W36" s="362"/>
      <c r="X36" s="365"/>
      <c r="Y36" s="365"/>
      <c r="Z36" s="364"/>
      <c r="AA36" s="11"/>
      <c r="AB36" s="11"/>
      <c r="AC36" s="25" t="s">
        <v>416</v>
      </c>
      <c r="AD36" s="276" t="s">
        <v>382</v>
      </c>
      <c r="AE36" s="136"/>
      <c r="AF36" s="97" t="s">
        <v>242</v>
      </c>
      <c r="AG36" s="109" t="s">
        <v>268</v>
      </c>
      <c r="AH36" s="8"/>
      <c r="AI36" s="8"/>
      <c r="AJ36" s="8"/>
      <c r="AK36" s="8"/>
      <c r="AL36" s="8"/>
      <c r="AM36" s="8"/>
      <c r="AN36" s="87">
        <f>K36</f>
        <v>600000</v>
      </c>
      <c r="AO36" s="8"/>
      <c r="AP36" s="8"/>
      <c r="AQ36" s="8"/>
      <c r="AR36" s="8"/>
      <c r="AS36" s="8"/>
      <c r="AT36" s="8"/>
      <c r="AU36" s="8"/>
      <c r="AV36" s="8"/>
      <c r="AW36" s="8"/>
      <c r="AX36" s="8"/>
      <c r="AY36" s="8"/>
      <c r="AZ36" s="8"/>
      <c r="BA36" s="8"/>
      <c r="BB36" s="8"/>
      <c r="BC36" s="8"/>
      <c r="BD36" s="8"/>
      <c r="BE36" s="8"/>
      <c r="BF36" s="8"/>
      <c r="BG36" s="8"/>
      <c r="BH36" s="8"/>
      <c r="BI36" s="8"/>
      <c r="BJ36" s="11"/>
      <c r="BK36" s="11"/>
      <c r="BL36" s="288" t="b">
        <f t="shared" si="55"/>
        <v>1</v>
      </c>
      <c r="BN36" s="360">
        <f t="shared" si="56"/>
        <v>0</v>
      </c>
      <c r="BO36" s="360">
        <f t="shared" si="57"/>
        <v>0</v>
      </c>
      <c r="BP36" s="360">
        <f t="shared" si="58"/>
        <v>0</v>
      </c>
      <c r="BQ36" s="360">
        <f t="shared" si="59"/>
        <v>0</v>
      </c>
      <c r="BR36" s="360">
        <f t="shared" si="60"/>
        <v>0</v>
      </c>
      <c r="BS36" s="360">
        <f t="shared" si="61"/>
        <v>0</v>
      </c>
      <c r="BT36" s="360">
        <f t="shared" si="62"/>
        <v>0</v>
      </c>
      <c r="BU36" s="360">
        <f t="shared" si="63"/>
        <v>0</v>
      </c>
      <c r="BV36" s="360">
        <f t="shared" si="64"/>
        <v>0</v>
      </c>
      <c r="BW36" s="360">
        <f t="shared" si="65"/>
        <v>0</v>
      </c>
      <c r="BX36" s="360">
        <f t="shared" si="66"/>
        <v>0</v>
      </c>
      <c r="BY36" s="360">
        <f t="shared" si="67"/>
        <v>0</v>
      </c>
      <c r="BZ36" s="360">
        <f t="shared" si="68"/>
        <v>0</v>
      </c>
      <c r="CA36" s="360">
        <f t="shared" si="69"/>
        <v>0</v>
      </c>
      <c r="CB36" s="360">
        <f t="shared" si="70"/>
        <v>0</v>
      </c>
      <c r="CC36" s="360">
        <f t="shared" si="71"/>
        <v>0</v>
      </c>
      <c r="CD36" s="360">
        <f t="shared" si="72"/>
        <v>0</v>
      </c>
      <c r="CE36" s="360">
        <f t="shared" si="73"/>
        <v>0</v>
      </c>
      <c r="CF36" s="360">
        <f t="shared" si="74"/>
        <v>0</v>
      </c>
      <c r="CG36" s="360">
        <f t="shared" si="75"/>
        <v>0</v>
      </c>
      <c r="CH36" s="360">
        <f t="shared" si="76"/>
        <v>0</v>
      </c>
      <c r="CI36" s="360">
        <f t="shared" si="77"/>
        <v>0</v>
      </c>
      <c r="CJ36" s="360">
        <f t="shared" si="78"/>
        <v>0</v>
      </c>
      <c r="CK36" s="360">
        <f t="shared" si="79"/>
        <v>0</v>
      </c>
      <c r="CL36" s="360">
        <f t="shared" si="80"/>
        <v>0</v>
      </c>
      <c r="CM36" s="360">
        <f t="shared" si="81"/>
        <v>0</v>
      </c>
      <c r="CN36" s="360">
        <f t="shared" si="82"/>
        <v>0</v>
      </c>
      <c r="CO36" s="360">
        <f t="shared" si="83"/>
        <v>0</v>
      </c>
      <c r="CP36" s="360">
        <f t="shared" si="84"/>
        <v>0</v>
      </c>
      <c r="CQ36" s="360">
        <f t="shared" si="85"/>
        <v>0</v>
      </c>
      <c r="CR36" s="360">
        <f t="shared" si="86"/>
        <v>0</v>
      </c>
      <c r="CS36" s="360">
        <f t="shared" si="87"/>
        <v>0</v>
      </c>
      <c r="CT36" s="360">
        <f t="shared" si="88"/>
        <v>0</v>
      </c>
      <c r="CU36" s="360">
        <f t="shared" si="89"/>
        <v>0</v>
      </c>
      <c r="CV36" s="360">
        <f t="shared" si="90"/>
        <v>0</v>
      </c>
      <c r="CW36" s="360">
        <f t="shared" si="91"/>
        <v>0</v>
      </c>
      <c r="CX36" s="360">
        <f t="shared" si="92"/>
        <v>0</v>
      </c>
      <c r="CY36" s="360">
        <f t="shared" si="93"/>
        <v>600000</v>
      </c>
      <c r="CZ36" s="360">
        <f t="shared" si="94"/>
        <v>0</v>
      </c>
      <c r="DA36" s="360">
        <f t="shared" si="95"/>
        <v>0</v>
      </c>
      <c r="DB36" s="360">
        <f t="shared" si="96"/>
        <v>0</v>
      </c>
      <c r="DC36" s="360">
        <f t="shared" si="97"/>
        <v>0</v>
      </c>
      <c r="DD36" s="360">
        <f t="shared" si="98"/>
        <v>0</v>
      </c>
      <c r="DE36" s="360">
        <f t="shared" si="99"/>
        <v>0</v>
      </c>
      <c r="DF36" s="360">
        <f t="shared" si="100"/>
        <v>0</v>
      </c>
      <c r="DG36" s="360">
        <f t="shared" si="101"/>
        <v>0</v>
      </c>
      <c r="DH36" s="360">
        <f t="shared" si="102"/>
        <v>0</v>
      </c>
      <c r="DI36" s="360">
        <f t="shared" si="103"/>
        <v>0</v>
      </c>
      <c r="DJ36" s="359"/>
    </row>
    <row r="37" spans="1:114" ht="42" x14ac:dyDescent="0.35">
      <c r="A37" s="55" t="s">
        <v>417</v>
      </c>
      <c r="B37" s="136"/>
      <c r="C37" s="50" t="s">
        <v>418</v>
      </c>
      <c r="D37" s="265" t="s">
        <v>297</v>
      </c>
      <c r="E37" s="1" t="s">
        <v>289</v>
      </c>
      <c r="F37" s="94" t="s">
        <v>289</v>
      </c>
      <c r="G37" s="124">
        <v>600000</v>
      </c>
      <c r="H37" s="126" t="s">
        <v>415</v>
      </c>
      <c r="I37" s="48">
        <v>0</v>
      </c>
      <c r="J37" s="48">
        <f>G37</f>
        <v>600000</v>
      </c>
      <c r="K37" s="124">
        <f>J37</f>
        <v>600000</v>
      </c>
      <c r="L37" s="367" t="s">
        <v>274</v>
      </c>
      <c r="M37" s="129">
        <f>J37-K37</f>
        <v>0</v>
      </c>
      <c r="N37" s="1" t="s">
        <v>265</v>
      </c>
      <c r="O37" s="1"/>
      <c r="P37" s="10"/>
      <c r="Q37" s="10"/>
      <c r="R37" s="1"/>
      <c r="S37" s="1"/>
      <c r="T37" s="94"/>
      <c r="U37" s="365"/>
      <c r="V37" s="362">
        <v>1</v>
      </c>
      <c r="W37" s="362"/>
      <c r="X37" s="365"/>
      <c r="Y37" s="365"/>
      <c r="Z37" s="364"/>
      <c r="AA37" s="11"/>
      <c r="AB37" s="11"/>
      <c r="AC37" s="25" t="s">
        <v>416</v>
      </c>
      <c r="AD37" s="276" t="s">
        <v>382</v>
      </c>
      <c r="AE37" s="136"/>
      <c r="AF37" s="97" t="s">
        <v>242</v>
      </c>
      <c r="AG37" s="109" t="s">
        <v>268</v>
      </c>
      <c r="AH37" s="8"/>
      <c r="AI37" s="8"/>
      <c r="AJ37" s="8"/>
      <c r="AK37" s="8"/>
      <c r="AL37" s="8"/>
      <c r="AM37" s="87">
        <f>K37</f>
        <v>600000</v>
      </c>
      <c r="AN37" s="8"/>
      <c r="AO37" s="8"/>
      <c r="AP37" s="8"/>
      <c r="AQ37" s="8"/>
      <c r="AR37" s="8"/>
      <c r="AS37" s="8"/>
      <c r="AT37" s="8"/>
      <c r="AU37" s="8"/>
      <c r="AV37" s="8"/>
      <c r="AW37" s="8"/>
      <c r="AX37" s="8"/>
      <c r="AY37" s="8"/>
      <c r="AZ37" s="8"/>
      <c r="BA37" s="8"/>
      <c r="BB37" s="8"/>
      <c r="BC37" s="8"/>
      <c r="BD37" s="8"/>
      <c r="BE37" s="8"/>
      <c r="BF37" s="8"/>
      <c r="BG37" s="8"/>
      <c r="BH37" s="8"/>
      <c r="BI37" s="8"/>
      <c r="BJ37" s="11"/>
      <c r="BK37" s="11"/>
      <c r="BL37" s="288" t="b">
        <f t="shared" si="55"/>
        <v>1</v>
      </c>
      <c r="BN37" s="360">
        <f t="shared" si="56"/>
        <v>0</v>
      </c>
      <c r="BO37" s="360">
        <f t="shared" si="57"/>
        <v>0</v>
      </c>
      <c r="BP37" s="360">
        <f t="shared" si="58"/>
        <v>0</v>
      </c>
      <c r="BQ37" s="360">
        <f t="shared" si="59"/>
        <v>0</v>
      </c>
      <c r="BR37" s="360">
        <f t="shared" si="60"/>
        <v>0</v>
      </c>
      <c r="BS37" s="360">
        <f t="shared" si="61"/>
        <v>0</v>
      </c>
      <c r="BT37" s="360">
        <f t="shared" si="62"/>
        <v>0</v>
      </c>
      <c r="BU37" s="360">
        <f t="shared" si="63"/>
        <v>0</v>
      </c>
      <c r="BV37" s="360">
        <f t="shared" si="64"/>
        <v>0</v>
      </c>
      <c r="BW37" s="360">
        <f t="shared" si="65"/>
        <v>0</v>
      </c>
      <c r="BX37" s="360">
        <f t="shared" si="66"/>
        <v>0</v>
      </c>
      <c r="BY37" s="360">
        <f t="shared" si="67"/>
        <v>0</v>
      </c>
      <c r="BZ37" s="360">
        <f t="shared" si="68"/>
        <v>0</v>
      </c>
      <c r="CA37" s="360">
        <f t="shared" si="69"/>
        <v>0</v>
      </c>
      <c r="CB37" s="360">
        <f t="shared" si="70"/>
        <v>0</v>
      </c>
      <c r="CC37" s="360">
        <f t="shared" si="71"/>
        <v>0</v>
      </c>
      <c r="CD37" s="360">
        <f t="shared" si="72"/>
        <v>0</v>
      </c>
      <c r="CE37" s="360">
        <f t="shared" si="73"/>
        <v>0</v>
      </c>
      <c r="CF37" s="360">
        <f t="shared" si="74"/>
        <v>0</v>
      </c>
      <c r="CG37" s="360">
        <f t="shared" si="75"/>
        <v>0</v>
      </c>
      <c r="CH37" s="360">
        <f t="shared" si="76"/>
        <v>0</v>
      </c>
      <c r="CI37" s="360">
        <f t="shared" si="77"/>
        <v>0</v>
      </c>
      <c r="CJ37" s="360">
        <f t="shared" si="78"/>
        <v>0</v>
      </c>
      <c r="CK37" s="360">
        <f t="shared" si="79"/>
        <v>0</v>
      </c>
      <c r="CL37" s="360">
        <f t="shared" si="80"/>
        <v>0</v>
      </c>
      <c r="CM37" s="360">
        <f t="shared" si="81"/>
        <v>0</v>
      </c>
      <c r="CN37" s="360">
        <f t="shared" si="82"/>
        <v>0</v>
      </c>
      <c r="CO37" s="360">
        <f t="shared" si="83"/>
        <v>0</v>
      </c>
      <c r="CP37" s="360">
        <f t="shared" si="84"/>
        <v>0</v>
      </c>
      <c r="CQ37" s="360">
        <f t="shared" si="85"/>
        <v>0</v>
      </c>
      <c r="CR37" s="360">
        <f t="shared" si="86"/>
        <v>0</v>
      </c>
      <c r="CS37" s="360">
        <f t="shared" si="87"/>
        <v>600000</v>
      </c>
      <c r="CT37" s="360">
        <f t="shared" si="88"/>
        <v>0</v>
      </c>
      <c r="CU37" s="360">
        <f t="shared" si="89"/>
        <v>0</v>
      </c>
      <c r="CV37" s="360">
        <f t="shared" si="90"/>
        <v>0</v>
      </c>
      <c r="CW37" s="360">
        <f t="shared" si="91"/>
        <v>0</v>
      </c>
      <c r="CX37" s="360">
        <f t="shared" si="92"/>
        <v>0</v>
      </c>
      <c r="CY37" s="360">
        <f t="shared" si="93"/>
        <v>0</v>
      </c>
      <c r="CZ37" s="360">
        <f t="shared" si="94"/>
        <v>0</v>
      </c>
      <c r="DA37" s="360">
        <f t="shared" si="95"/>
        <v>0</v>
      </c>
      <c r="DB37" s="360">
        <f t="shared" si="96"/>
        <v>0</v>
      </c>
      <c r="DC37" s="360">
        <f t="shared" si="97"/>
        <v>0</v>
      </c>
      <c r="DD37" s="360">
        <f t="shared" si="98"/>
        <v>0</v>
      </c>
      <c r="DE37" s="360">
        <f t="shared" si="99"/>
        <v>0</v>
      </c>
      <c r="DF37" s="360">
        <f t="shared" si="100"/>
        <v>0</v>
      </c>
      <c r="DG37" s="360">
        <f t="shared" si="101"/>
        <v>0</v>
      </c>
      <c r="DH37" s="360">
        <f t="shared" si="102"/>
        <v>0</v>
      </c>
      <c r="DI37" s="360">
        <f t="shared" si="103"/>
        <v>0</v>
      </c>
      <c r="DJ37" s="359"/>
    </row>
    <row r="38" spans="1:114" ht="56" x14ac:dyDescent="0.35">
      <c r="A38" s="55" t="s">
        <v>419</v>
      </c>
      <c r="B38" s="136"/>
      <c r="C38" s="50" t="s">
        <v>420</v>
      </c>
      <c r="D38" s="265" t="s">
        <v>297</v>
      </c>
      <c r="E38" s="1" t="s">
        <v>398</v>
      </c>
      <c r="F38" s="94" t="s">
        <v>299</v>
      </c>
      <c r="G38" s="124">
        <v>7317195.0163018163</v>
      </c>
      <c r="H38" s="126" t="s">
        <v>235</v>
      </c>
      <c r="I38" s="48">
        <v>0</v>
      </c>
      <c r="J38" s="45">
        <f>G38</f>
        <v>7317195.0163018163</v>
      </c>
      <c r="K38" s="124">
        <f>J38</f>
        <v>7317195.0163018163</v>
      </c>
      <c r="L38" s="367" t="s">
        <v>274</v>
      </c>
      <c r="M38" s="129" t="s">
        <v>371</v>
      </c>
      <c r="N38" s="1" t="s">
        <v>421</v>
      </c>
      <c r="O38" s="10"/>
      <c r="P38" s="10"/>
      <c r="Q38" s="10"/>
      <c r="R38" s="10"/>
      <c r="S38" s="10"/>
      <c r="T38" s="218"/>
      <c r="U38" s="362">
        <f>[1]Phasing!D34</f>
        <v>6.7676767676767682E-2</v>
      </c>
      <c r="V38" s="362">
        <f>[1]Phasing!E34</f>
        <v>0.25656565656565655</v>
      </c>
      <c r="W38" s="362">
        <f>[1]Phasing!F34</f>
        <v>0.25454545454545452</v>
      </c>
      <c r="X38" s="362">
        <f>[1]Phasing!G34</f>
        <v>9.0909090909090912E-2</v>
      </c>
      <c r="Y38" s="362">
        <f>[1]Phasing!H34</f>
        <v>9.0909090909090912E-2</v>
      </c>
      <c r="Z38" s="361">
        <f>[1]Phasing!I34</f>
        <v>0.23939393939393938</v>
      </c>
      <c r="AA38" s="11" t="s">
        <v>422</v>
      </c>
      <c r="AB38" s="11"/>
      <c r="AC38" s="25" t="s">
        <v>416</v>
      </c>
      <c r="AD38" s="276" t="s">
        <v>382</v>
      </c>
      <c r="AE38" s="136"/>
      <c r="AF38" s="97" t="s">
        <v>242</v>
      </c>
      <c r="AG38" s="134" t="s">
        <v>293</v>
      </c>
      <c r="AH38" s="87">
        <v>309439</v>
      </c>
      <c r="AI38" s="87">
        <v>1072721</v>
      </c>
      <c r="AJ38" s="87">
        <v>433214.25244527246</v>
      </c>
      <c r="AK38" s="87">
        <v>332956.09687936655</v>
      </c>
      <c r="AL38" s="87">
        <v>549150.6380996739</v>
      </c>
      <c r="AM38" s="87">
        <f>639506.753609688+2888095.01630182</f>
        <v>3527601.7699115081</v>
      </c>
      <c r="AN38" s="87">
        <v>618877.50349324639</v>
      </c>
      <c r="AO38" s="87">
        <v>268180.25151374011</v>
      </c>
      <c r="AP38" s="87">
        <f>205054.746157429*'[1]Apportionment %'!K12</f>
        <v>28880.950163018173</v>
      </c>
      <c r="AQ38" s="87">
        <f>205054.746157429*'[1]Apportionment %'!L12</f>
        <v>28468.365160689336</v>
      </c>
      <c r="AR38" s="87">
        <f>205054.746157429*'[1]Apportionment %'!M12</f>
        <v>17328.570097810902</v>
      </c>
      <c r="AS38" s="87">
        <f>205054.746157429*'[1]Apportionment %'!N12</f>
        <v>14853.060083837916</v>
      </c>
      <c r="AT38" s="87">
        <f>205054.746157429*'[1]Apportionment %'!O12</f>
        <v>14440.475081509087</v>
      </c>
      <c r="AU38" s="87">
        <f>205054.746157429*'[1]Apportionment %'!P12</f>
        <v>14440.475081509087</v>
      </c>
      <c r="AV38" s="87">
        <f>205054.746157429*'[1]Apportionment %'!Q12</f>
        <v>14440.475081509087</v>
      </c>
      <c r="AW38" s="87">
        <f>205054.746157429*'[1]Apportionment %'!R12</f>
        <v>9489.4550535631133</v>
      </c>
      <c r="AX38" s="87">
        <f>205054.746157429*'[1]Apportionment %'!S12</f>
        <v>8251.7000465766196</v>
      </c>
      <c r="AY38" s="87">
        <f>205054.746157429*'[1]Apportionment %'!T12</f>
        <v>6601.3600372612964</v>
      </c>
      <c r="AZ38" s="87">
        <f>205054.746157429*'[1]Apportionment %'!U12</f>
        <v>6601.3600372612964</v>
      </c>
      <c r="BA38" s="87">
        <f>205054.746157429*'[1]Apportionment %'!V12</f>
        <v>6188.7750349324651</v>
      </c>
      <c r="BB38" s="87">
        <f>205054.746157429*'[1]Apportionment %'!W12</f>
        <v>5363.6050302748035</v>
      </c>
      <c r="BC38" s="87">
        <f>205054.746157429*'[1]Apportionment %'!X12</f>
        <v>4951.0200279459714</v>
      </c>
      <c r="BD38" s="87">
        <f>205054.746157429*'[1]Apportionment %'!Y12</f>
        <v>4125.8500232883098</v>
      </c>
      <c r="BE38" s="87">
        <f>205054.746157429*'[1]Apportionment %'!Z12</f>
        <v>4125.8500232883098</v>
      </c>
      <c r="BF38" s="87">
        <f>205054.746157429*'[1]Apportionment %'!AA12</f>
        <v>4125.8500232883098</v>
      </c>
      <c r="BG38" s="87">
        <f>205054.746157429*'[1]Apportionment %'!AB12</f>
        <v>4125.8500232883098</v>
      </c>
      <c r="BH38" s="87">
        <f>205054.746157429*'[1]Apportionment %'!AC12</f>
        <v>4125.8500232883098</v>
      </c>
      <c r="BI38" s="87">
        <f>205054.746157429*'[1]Apportionment %'!AD12</f>
        <v>4125.8500232883098</v>
      </c>
      <c r="BJ38" s="11"/>
      <c r="BK38" s="11"/>
      <c r="BL38" s="288" t="b">
        <f t="shared" si="55"/>
        <v>0</v>
      </c>
      <c r="BN38" s="360">
        <f t="shared" si="56"/>
        <v>20941.831313131315</v>
      </c>
      <c r="BO38" s="360">
        <f t="shared" si="57"/>
        <v>79391.420202020192</v>
      </c>
      <c r="BP38" s="360">
        <f t="shared" si="58"/>
        <v>78766.290909090894</v>
      </c>
      <c r="BQ38" s="360">
        <f t="shared" si="59"/>
        <v>28130.818181818184</v>
      </c>
      <c r="BR38" s="360">
        <f t="shared" si="60"/>
        <v>28130.818181818184</v>
      </c>
      <c r="BS38" s="360">
        <f t="shared" si="61"/>
        <v>74077.821212121213</v>
      </c>
      <c r="BT38" s="360">
        <f t="shared" si="62"/>
        <v>72598.289898989911</v>
      </c>
      <c r="BU38" s="360">
        <f t="shared" si="63"/>
        <v>275223.36767676764</v>
      </c>
      <c r="BV38" s="360">
        <f t="shared" si="64"/>
        <v>273056.25454545452</v>
      </c>
      <c r="BW38" s="360">
        <f t="shared" si="65"/>
        <v>97520.090909090912</v>
      </c>
      <c r="BX38" s="360">
        <f t="shared" si="66"/>
        <v>97520.090909090912</v>
      </c>
      <c r="BY38" s="360">
        <f t="shared" si="67"/>
        <v>256802.90606060604</v>
      </c>
      <c r="BZ38" s="360">
        <f t="shared" si="68"/>
        <v>29318.540317003291</v>
      </c>
      <c r="CA38" s="360">
        <f t="shared" si="69"/>
        <v>111147.89911222141</v>
      </c>
      <c r="CB38" s="360">
        <f t="shared" si="70"/>
        <v>110272.71880425116</v>
      </c>
      <c r="CC38" s="360">
        <f t="shared" si="71"/>
        <v>39383.113858661134</v>
      </c>
      <c r="CD38" s="360">
        <f t="shared" si="72"/>
        <v>39383.113858661134</v>
      </c>
      <c r="CE38" s="360">
        <f t="shared" si="73"/>
        <v>103708.86649447431</v>
      </c>
      <c r="CF38" s="360">
        <f t="shared" si="74"/>
        <v>22533.392415068243</v>
      </c>
      <c r="CG38" s="360">
        <f t="shared" si="75"/>
        <v>85425.099603393028</v>
      </c>
      <c r="CH38" s="360">
        <f t="shared" si="76"/>
        <v>84752.461023838754</v>
      </c>
      <c r="CI38" s="360">
        <f t="shared" si="77"/>
        <v>30268.736079942413</v>
      </c>
      <c r="CJ38" s="360">
        <f t="shared" si="78"/>
        <v>30268.736079942413</v>
      </c>
      <c r="CK38" s="360">
        <f t="shared" si="79"/>
        <v>79707.671677181686</v>
      </c>
      <c r="CL38" s="360">
        <f t="shared" si="80"/>
        <v>37164.740154220359</v>
      </c>
      <c r="CM38" s="360">
        <f t="shared" si="81"/>
        <v>140893.19401749209</v>
      </c>
      <c r="CN38" s="360">
        <f t="shared" si="82"/>
        <v>139783.79878900788</v>
      </c>
      <c r="CO38" s="360">
        <f t="shared" si="83"/>
        <v>49922.785281788536</v>
      </c>
      <c r="CP38" s="360">
        <f t="shared" si="84"/>
        <v>49922.785281788536</v>
      </c>
      <c r="CQ38" s="360">
        <f t="shared" si="85"/>
        <v>131463.33457537647</v>
      </c>
      <c r="CR38" s="360">
        <f t="shared" si="86"/>
        <v>238736.68543845561</v>
      </c>
      <c r="CS38" s="360">
        <f t="shared" si="87"/>
        <v>905061.4641995182</v>
      </c>
      <c r="CT38" s="360">
        <f t="shared" si="88"/>
        <v>897934.99597747473</v>
      </c>
      <c r="CU38" s="360">
        <f t="shared" si="89"/>
        <v>320691.0699919553</v>
      </c>
      <c r="CV38" s="360">
        <f t="shared" si="90"/>
        <v>320691.0699919553</v>
      </c>
      <c r="CW38" s="360">
        <f t="shared" si="91"/>
        <v>844486.48431214888</v>
      </c>
      <c r="CX38" s="360">
        <f t="shared" si="92"/>
        <v>41883.629024290414</v>
      </c>
      <c r="CY38" s="360">
        <f t="shared" si="93"/>
        <v>158782.71301745917</v>
      </c>
      <c r="CZ38" s="360">
        <f t="shared" si="94"/>
        <v>157532.45543464451</v>
      </c>
      <c r="DA38" s="360">
        <f t="shared" si="95"/>
        <v>56261.591226658762</v>
      </c>
      <c r="DB38" s="360">
        <f t="shared" si="96"/>
        <v>56261.591226658762</v>
      </c>
      <c r="DC38" s="360">
        <f t="shared" si="97"/>
        <v>148155.52356353472</v>
      </c>
      <c r="DD38" s="360">
        <f t="shared" si="98"/>
        <v>18149.572577192514</v>
      </c>
      <c r="DE38" s="360">
        <f t="shared" si="99"/>
        <v>68805.842307565646</v>
      </c>
      <c r="DF38" s="360">
        <f t="shared" si="100"/>
        <v>68264.064021679296</v>
      </c>
      <c r="DG38" s="360">
        <f t="shared" si="101"/>
        <v>24380.022864885465</v>
      </c>
      <c r="DH38" s="360">
        <f t="shared" si="102"/>
        <v>24380.022864885465</v>
      </c>
      <c r="DI38" s="360">
        <f t="shared" si="103"/>
        <v>64200.726877531721</v>
      </c>
      <c r="DJ38" s="359"/>
    </row>
    <row r="39" spans="1:114" ht="28" x14ac:dyDescent="0.35">
      <c r="A39" s="55" t="s">
        <v>423</v>
      </c>
      <c r="B39" s="136"/>
      <c r="C39" s="50" t="s">
        <v>424</v>
      </c>
      <c r="D39" s="265" t="s">
        <v>297</v>
      </c>
      <c r="E39" s="1" t="s">
        <v>425</v>
      </c>
      <c r="F39" s="94" t="s">
        <v>299</v>
      </c>
      <c r="G39" s="124">
        <v>18900000</v>
      </c>
      <c r="H39" s="126" t="s">
        <v>426</v>
      </c>
      <c r="I39" s="48">
        <v>0</v>
      </c>
      <c r="J39" s="45">
        <v>18900000</v>
      </c>
      <c r="K39" s="366">
        <v>18900000</v>
      </c>
      <c r="L39" s="116" t="s">
        <v>249</v>
      </c>
      <c r="M39" s="129">
        <f>J39-K39</f>
        <v>0</v>
      </c>
      <c r="N39" s="1" t="s">
        <v>421</v>
      </c>
      <c r="O39" s="10"/>
      <c r="P39" s="10"/>
      <c r="Q39" s="10"/>
      <c r="R39" s="10"/>
      <c r="S39" s="10"/>
      <c r="T39" s="218"/>
      <c r="U39" s="365"/>
      <c r="V39" s="362">
        <v>0.5</v>
      </c>
      <c r="W39" s="362">
        <v>0.5</v>
      </c>
      <c r="X39" s="365"/>
      <c r="Y39" s="365"/>
      <c r="Z39" s="364"/>
      <c r="AA39" s="11"/>
      <c r="AB39" s="11"/>
      <c r="AC39" s="25" t="s">
        <v>427</v>
      </c>
      <c r="AD39" s="276" t="s">
        <v>382</v>
      </c>
      <c r="AE39" s="136"/>
      <c r="AF39" s="97" t="s">
        <v>242</v>
      </c>
      <c r="AG39" s="134" t="s">
        <v>293</v>
      </c>
      <c r="AH39" s="8"/>
      <c r="AI39" s="8"/>
      <c r="AJ39" s="8"/>
      <c r="AK39" s="8"/>
      <c r="AL39" s="8"/>
      <c r="AM39" s="87">
        <f>$K$39*'[1]Apportionment %'!H9</f>
        <v>16065000</v>
      </c>
      <c r="AN39" s="87">
        <f>$K$39*'[1]Apportionment %'!I9</f>
        <v>2835000</v>
      </c>
      <c r="AO39" s="8"/>
      <c r="AP39" s="8"/>
      <c r="AQ39" s="8"/>
      <c r="AR39" s="8"/>
      <c r="AS39" s="8"/>
      <c r="AT39" s="8"/>
      <c r="AU39" s="8"/>
      <c r="AV39" s="8"/>
      <c r="AW39" s="8"/>
      <c r="AX39" s="8"/>
      <c r="AY39" s="8"/>
      <c r="AZ39" s="8"/>
      <c r="BA39" s="8"/>
      <c r="BB39" s="8"/>
      <c r="BC39" s="8"/>
      <c r="BD39" s="8"/>
      <c r="BE39" s="8"/>
      <c r="BF39" s="8"/>
      <c r="BG39" s="8"/>
      <c r="BH39" s="8"/>
      <c r="BI39" s="8"/>
      <c r="BJ39" s="11"/>
      <c r="BK39" s="11"/>
      <c r="BL39" s="288" t="b">
        <f t="shared" si="55"/>
        <v>1</v>
      </c>
      <c r="BN39" s="360">
        <f t="shared" si="56"/>
        <v>0</v>
      </c>
      <c r="BO39" s="360">
        <f t="shared" si="57"/>
        <v>0</v>
      </c>
      <c r="BP39" s="360">
        <f t="shared" si="58"/>
        <v>0</v>
      </c>
      <c r="BQ39" s="360">
        <f t="shared" si="59"/>
        <v>0</v>
      </c>
      <c r="BR39" s="360">
        <f t="shared" si="60"/>
        <v>0</v>
      </c>
      <c r="BS39" s="360">
        <f t="shared" si="61"/>
        <v>0</v>
      </c>
      <c r="BT39" s="360">
        <f t="shared" si="62"/>
        <v>0</v>
      </c>
      <c r="BU39" s="360">
        <f t="shared" si="63"/>
        <v>0</v>
      </c>
      <c r="BV39" s="360">
        <f t="shared" si="64"/>
        <v>0</v>
      </c>
      <c r="BW39" s="360">
        <f t="shared" si="65"/>
        <v>0</v>
      </c>
      <c r="BX39" s="360">
        <f t="shared" si="66"/>
        <v>0</v>
      </c>
      <c r="BY39" s="360">
        <f t="shared" si="67"/>
        <v>0</v>
      </c>
      <c r="BZ39" s="360">
        <f t="shared" si="68"/>
        <v>0</v>
      </c>
      <c r="CA39" s="360">
        <f t="shared" si="69"/>
        <v>0</v>
      </c>
      <c r="CB39" s="360">
        <f t="shared" si="70"/>
        <v>0</v>
      </c>
      <c r="CC39" s="360">
        <f t="shared" si="71"/>
        <v>0</v>
      </c>
      <c r="CD39" s="360">
        <f t="shared" si="72"/>
        <v>0</v>
      </c>
      <c r="CE39" s="360">
        <f t="shared" si="73"/>
        <v>0</v>
      </c>
      <c r="CF39" s="360">
        <f t="shared" si="74"/>
        <v>0</v>
      </c>
      <c r="CG39" s="360">
        <f t="shared" si="75"/>
        <v>0</v>
      </c>
      <c r="CH39" s="360">
        <f t="shared" si="76"/>
        <v>0</v>
      </c>
      <c r="CI39" s="360">
        <f t="shared" si="77"/>
        <v>0</v>
      </c>
      <c r="CJ39" s="360">
        <f t="shared" si="78"/>
        <v>0</v>
      </c>
      <c r="CK39" s="360">
        <f t="shared" si="79"/>
        <v>0</v>
      </c>
      <c r="CL39" s="360">
        <f t="shared" si="80"/>
        <v>0</v>
      </c>
      <c r="CM39" s="360">
        <f t="shared" si="81"/>
        <v>0</v>
      </c>
      <c r="CN39" s="360">
        <f t="shared" si="82"/>
        <v>0</v>
      </c>
      <c r="CO39" s="360">
        <f t="shared" si="83"/>
        <v>0</v>
      </c>
      <c r="CP39" s="360">
        <f t="shared" si="84"/>
        <v>0</v>
      </c>
      <c r="CQ39" s="360">
        <f t="shared" si="85"/>
        <v>0</v>
      </c>
      <c r="CR39" s="360">
        <f t="shared" si="86"/>
        <v>0</v>
      </c>
      <c r="CS39" s="360">
        <f t="shared" si="87"/>
        <v>8032500</v>
      </c>
      <c r="CT39" s="360">
        <f t="shared" si="88"/>
        <v>8032500</v>
      </c>
      <c r="CU39" s="360">
        <f t="shared" si="89"/>
        <v>0</v>
      </c>
      <c r="CV39" s="360">
        <f t="shared" si="90"/>
        <v>0</v>
      </c>
      <c r="CW39" s="360">
        <f t="shared" si="91"/>
        <v>0</v>
      </c>
      <c r="CX39" s="360">
        <f t="shared" si="92"/>
        <v>0</v>
      </c>
      <c r="CY39" s="360">
        <f t="shared" si="93"/>
        <v>1417500</v>
      </c>
      <c r="CZ39" s="360">
        <f t="shared" si="94"/>
        <v>1417500</v>
      </c>
      <c r="DA39" s="360">
        <f t="shared" si="95"/>
        <v>0</v>
      </c>
      <c r="DB39" s="360">
        <f t="shared" si="96"/>
        <v>0</v>
      </c>
      <c r="DC39" s="360">
        <f t="shared" si="97"/>
        <v>0</v>
      </c>
      <c r="DD39" s="360">
        <f t="shared" si="98"/>
        <v>0</v>
      </c>
      <c r="DE39" s="360">
        <f t="shared" si="99"/>
        <v>0</v>
      </c>
      <c r="DF39" s="360">
        <f t="shared" si="100"/>
        <v>0</v>
      </c>
      <c r="DG39" s="360">
        <f t="shared" si="101"/>
        <v>0</v>
      </c>
      <c r="DH39" s="360">
        <f t="shared" si="102"/>
        <v>0</v>
      </c>
      <c r="DI39" s="360">
        <f t="shared" si="103"/>
        <v>0</v>
      </c>
      <c r="DJ39" s="359"/>
    </row>
    <row r="40" spans="1:114" ht="28" x14ac:dyDescent="0.35">
      <c r="A40" s="55" t="s">
        <v>428</v>
      </c>
      <c r="B40" s="136"/>
      <c r="C40" s="50" t="s">
        <v>429</v>
      </c>
      <c r="D40" s="265" t="s">
        <v>297</v>
      </c>
      <c r="E40" s="1" t="s">
        <v>430</v>
      </c>
      <c r="F40" s="94" t="s">
        <v>299</v>
      </c>
      <c r="G40" s="118" t="s">
        <v>371</v>
      </c>
      <c r="H40" s="126"/>
      <c r="I40" s="48">
        <v>0</v>
      </c>
      <c r="J40" s="272" t="s">
        <v>371</v>
      </c>
      <c r="K40" s="118" t="s">
        <v>371</v>
      </c>
      <c r="L40" s="126"/>
      <c r="M40" s="363" t="s">
        <v>371</v>
      </c>
      <c r="N40" s="1" t="s">
        <v>421</v>
      </c>
      <c r="O40" s="10"/>
      <c r="P40" s="10"/>
      <c r="Q40" s="10"/>
      <c r="R40" s="10"/>
      <c r="S40" s="10"/>
      <c r="T40" s="218"/>
      <c r="U40" s="365"/>
      <c r="V40" s="362"/>
      <c r="W40" s="362"/>
      <c r="X40" s="365"/>
      <c r="Y40" s="365"/>
      <c r="Z40" s="364"/>
      <c r="AA40" s="11"/>
      <c r="AB40" s="11"/>
      <c r="AC40" s="25" t="s">
        <v>276</v>
      </c>
      <c r="AD40" s="276" t="s">
        <v>382</v>
      </c>
      <c r="AE40" s="136"/>
      <c r="AF40" s="97" t="s">
        <v>242</v>
      </c>
      <c r="AG40" s="134" t="s">
        <v>293</v>
      </c>
      <c r="AH40" s="8"/>
      <c r="AI40" s="8"/>
      <c r="AJ40" s="8"/>
      <c r="AK40" s="8"/>
      <c r="AL40" s="8"/>
      <c r="AM40" s="286"/>
      <c r="AN40" s="286"/>
      <c r="AO40" s="8"/>
      <c r="AP40" s="8"/>
      <c r="AQ40" s="8"/>
      <c r="AR40" s="8"/>
      <c r="AS40" s="8"/>
      <c r="AT40" s="8"/>
      <c r="AU40" s="8"/>
      <c r="AV40" s="8"/>
      <c r="AW40" s="8"/>
      <c r="AX40" s="8"/>
      <c r="AY40" s="8"/>
      <c r="AZ40" s="8"/>
      <c r="BA40" s="8"/>
      <c r="BB40" s="8"/>
      <c r="BC40" s="8"/>
      <c r="BD40" s="8"/>
      <c r="BE40" s="8"/>
      <c r="BF40" s="8"/>
      <c r="BG40" s="8"/>
      <c r="BH40" s="8"/>
      <c r="BI40" s="8"/>
      <c r="BJ40" s="11"/>
      <c r="BK40" s="11"/>
      <c r="BL40" s="288"/>
      <c r="BN40" s="360">
        <f t="shared" si="56"/>
        <v>0</v>
      </c>
      <c r="BO40" s="360">
        <f t="shared" si="57"/>
        <v>0</v>
      </c>
      <c r="BP40" s="360">
        <f t="shared" si="58"/>
        <v>0</v>
      </c>
      <c r="BQ40" s="360">
        <f t="shared" si="59"/>
        <v>0</v>
      </c>
      <c r="BR40" s="360">
        <f t="shared" si="60"/>
        <v>0</v>
      </c>
      <c r="BS40" s="360">
        <f t="shared" si="61"/>
        <v>0</v>
      </c>
      <c r="BT40" s="360">
        <f t="shared" si="62"/>
        <v>0</v>
      </c>
      <c r="BU40" s="360">
        <f t="shared" si="63"/>
        <v>0</v>
      </c>
      <c r="BV40" s="360">
        <f t="shared" si="64"/>
        <v>0</v>
      </c>
      <c r="BW40" s="360">
        <f t="shared" si="65"/>
        <v>0</v>
      </c>
      <c r="BX40" s="360">
        <f t="shared" si="66"/>
        <v>0</v>
      </c>
      <c r="BY40" s="360">
        <f t="shared" si="67"/>
        <v>0</v>
      </c>
      <c r="BZ40" s="360">
        <f t="shared" si="68"/>
        <v>0</v>
      </c>
      <c r="CA40" s="360">
        <f t="shared" si="69"/>
        <v>0</v>
      </c>
      <c r="CB40" s="360">
        <f t="shared" si="70"/>
        <v>0</v>
      </c>
      <c r="CC40" s="360">
        <f t="shared" si="71"/>
        <v>0</v>
      </c>
      <c r="CD40" s="360">
        <f t="shared" si="72"/>
        <v>0</v>
      </c>
      <c r="CE40" s="360">
        <f t="shared" si="73"/>
        <v>0</v>
      </c>
      <c r="CF40" s="360">
        <f t="shared" si="74"/>
        <v>0</v>
      </c>
      <c r="CG40" s="360">
        <f t="shared" si="75"/>
        <v>0</v>
      </c>
      <c r="CH40" s="360">
        <f t="shared" si="76"/>
        <v>0</v>
      </c>
      <c r="CI40" s="360">
        <f t="shared" si="77"/>
        <v>0</v>
      </c>
      <c r="CJ40" s="360">
        <f t="shared" si="78"/>
        <v>0</v>
      </c>
      <c r="CK40" s="360">
        <f t="shared" si="79"/>
        <v>0</v>
      </c>
      <c r="CL40" s="360">
        <f t="shared" si="80"/>
        <v>0</v>
      </c>
      <c r="CM40" s="360">
        <f t="shared" si="81"/>
        <v>0</v>
      </c>
      <c r="CN40" s="360">
        <f t="shared" si="82"/>
        <v>0</v>
      </c>
      <c r="CO40" s="360">
        <f t="shared" si="83"/>
        <v>0</v>
      </c>
      <c r="CP40" s="360">
        <f t="shared" si="84"/>
        <v>0</v>
      </c>
      <c r="CQ40" s="360">
        <f t="shared" si="85"/>
        <v>0</v>
      </c>
      <c r="CR40" s="360">
        <f t="shared" si="86"/>
        <v>0</v>
      </c>
      <c r="CS40" s="360">
        <f t="shared" si="87"/>
        <v>0</v>
      </c>
      <c r="CT40" s="360">
        <f t="shared" si="88"/>
        <v>0</v>
      </c>
      <c r="CU40" s="360">
        <f t="shared" si="89"/>
        <v>0</v>
      </c>
      <c r="CV40" s="360">
        <f t="shared" si="90"/>
        <v>0</v>
      </c>
      <c r="CW40" s="360">
        <f t="shared" si="91"/>
        <v>0</v>
      </c>
      <c r="CX40" s="360">
        <f t="shared" si="92"/>
        <v>0</v>
      </c>
      <c r="CY40" s="360">
        <f t="shared" si="93"/>
        <v>0</v>
      </c>
      <c r="CZ40" s="360">
        <f t="shared" si="94"/>
        <v>0</v>
      </c>
      <c r="DA40" s="360">
        <f t="shared" si="95"/>
        <v>0</v>
      </c>
      <c r="DB40" s="360">
        <f t="shared" si="96"/>
        <v>0</v>
      </c>
      <c r="DC40" s="360">
        <f t="shared" si="97"/>
        <v>0</v>
      </c>
      <c r="DD40" s="360">
        <f t="shared" si="98"/>
        <v>0</v>
      </c>
      <c r="DE40" s="360">
        <f t="shared" si="99"/>
        <v>0</v>
      </c>
      <c r="DF40" s="360">
        <f t="shared" si="100"/>
        <v>0</v>
      </c>
      <c r="DG40" s="360">
        <f t="shared" si="101"/>
        <v>0</v>
      </c>
      <c r="DH40" s="360">
        <f t="shared" si="102"/>
        <v>0</v>
      </c>
      <c r="DI40" s="360">
        <f t="shared" si="103"/>
        <v>0</v>
      </c>
      <c r="DJ40" s="359"/>
    </row>
    <row r="41" spans="1:114" ht="28" x14ac:dyDescent="0.35">
      <c r="A41" s="55" t="s">
        <v>431</v>
      </c>
      <c r="B41" s="136"/>
      <c r="C41" s="50" t="s">
        <v>432</v>
      </c>
      <c r="D41" s="265" t="s">
        <v>297</v>
      </c>
      <c r="E41" s="1" t="s">
        <v>430</v>
      </c>
      <c r="F41" s="94" t="s">
        <v>299</v>
      </c>
      <c r="G41" s="118" t="s">
        <v>371</v>
      </c>
      <c r="H41" s="126"/>
      <c r="I41" s="48">
        <v>0</v>
      </c>
      <c r="J41" s="272" t="s">
        <v>371</v>
      </c>
      <c r="K41" s="118" t="s">
        <v>371</v>
      </c>
      <c r="L41" s="126"/>
      <c r="M41" s="363" t="s">
        <v>371</v>
      </c>
      <c r="N41" s="1" t="s">
        <v>421</v>
      </c>
      <c r="O41" s="10"/>
      <c r="P41" s="10"/>
      <c r="Q41" s="10"/>
      <c r="R41" s="10"/>
      <c r="S41" s="10"/>
      <c r="T41" s="218"/>
      <c r="U41" s="362"/>
      <c r="V41" s="362"/>
      <c r="W41" s="362"/>
      <c r="X41" s="362"/>
      <c r="Y41" s="362"/>
      <c r="Z41" s="361"/>
      <c r="AA41" s="11"/>
      <c r="AB41" s="11"/>
      <c r="AC41" s="25" t="s">
        <v>276</v>
      </c>
      <c r="AD41" s="276" t="s">
        <v>382</v>
      </c>
      <c r="AE41" s="136"/>
      <c r="AF41" s="97" t="s">
        <v>242</v>
      </c>
      <c r="AG41" s="134" t="s">
        <v>293</v>
      </c>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11"/>
      <c r="BK41" s="11"/>
      <c r="BL41" s="288"/>
      <c r="BN41" s="360">
        <f t="shared" si="56"/>
        <v>0</v>
      </c>
      <c r="BO41" s="360">
        <f t="shared" si="57"/>
        <v>0</v>
      </c>
      <c r="BP41" s="360">
        <f t="shared" si="58"/>
        <v>0</v>
      </c>
      <c r="BQ41" s="360">
        <f t="shared" si="59"/>
        <v>0</v>
      </c>
      <c r="BR41" s="360">
        <f t="shared" si="60"/>
        <v>0</v>
      </c>
      <c r="BS41" s="360">
        <f t="shared" si="61"/>
        <v>0</v>
      </c>
      <c r="BT41" s="360">
        <f t="shared" si="62"/>
        <v>0</v>
      </c>
      <c r="BU41" s="360">
        <f t="shared" si="63"/>
        <v>0</v>
      </c>
      <c r="BV41" s="360">
        <f t="shared" si="64"/>
        <v>0</v>
      </c>
      <c r="BW41" s="360">
        <f t="shared" si="65"/>
        <v>0</v>
      </c>
      <c r="BX41" s="360">
        <f t="shared" si="66"/>
        <v>0</v>
      </c>
      <c r="BY41" s="360">
        <f t="shared" si="67"/>
        <v>0</v>
      </c>
      <c r="BZ41" s="360">
        <f t="shared" si="68"/>
        <v>0</v>
      </c>
      <c r="CA41" s="360">
        <f t="shared" si="69"/>
        <v>0</v>
      </c>
      <c r="CB41" s="360">
        <f t="shared" si="70"/>
        <v>0</v>
      </c>
      <c r="CC41" s="360">
        <f t="shared" si="71"/>
        <v>0</v>
      </c>
      <c r="CD41" s="360">
        <f t="shared" si="72"/>
        <v>0</v>
      </c>
      <c r="CE41" s="360">
        <f t="shared" si="73"/>
        <v>0</v>
      </c>
      <c r="CF41" s="360">
        <f t="shared" si="74"/>
        <v>0</v>
      </c>
      <c r="CG41" s="360">
        <f t="shared" si="75"/>
        <v>0</v>
      </c>
      <c r="CH41" s="360">
        <f t="shared" si="76"/>
        <v>0</v>
      </c>
      <c r="CI41" s="360">
        <f t="shared" si="77"/>
        <v>0</v>
      </c>
      <c r="CJ41" s="360">
        <f t="shared" si="78"/>
        <v>0</v>
      </c>
      <c r="CK41" s="360">
        <f t="shared" si="79"/>
        <v>0</v>
      </c>
      <c r="CL41" s="360">
        <f t="shared" si="80"/>
        <v>0</v>
      </c>
      <c r="CM41" s="360">
        <f t="shared" si="81"/>
        <v>0</v>
      </c>
      <c r="CN41" s="360">
        <f t="shared" si="82"/>
        <v>0</v>
      </c>
      <c r="CO41" s="360">
        <f t="shared" si="83"/>
        <v>0</v>
      </c>
      <c r="CP41" s="360">
        <f t="shared" si="84"/>
        <v>0</v>
      </c>
      <c r="CQ41" s="360">
        <f t="shared" si="85"/>
        <v>0</v>
      </c>
      <c r="CR41" s="360">
        <f t="shared" si="86"/>
        <v>0</v>
      </c>
      <c r="CS41" s="360">
        <f t="shared" si="87"/>
        <v>0</v>
      </c>
      <c r="CT41" s="360">
        <f t="shared" si="88"/>
        <v>0</v>
      </c>
      <c r="CU41" s="360">
        <f t="shared" si="89"/>
        <v>0</v>
      </c>
      <c r="CV41" s="360">
        <f t="shared" si="90"/>
        <v>0</v>
      </c>
      <c r="CW41" s="360">
        <f t="shared" si="91"/>
        <v>0</v>
      </c>
      <c r="CX41" s="360">
        <f t="shared" si="92"/>
        <v>0</v>
      </c>
      <c r="CY41" s="360">
        <f t="shared" si="93"/>
        <v>0</v>
      </c>
      <c r="CZ41" s="360">
        <f t="shared" si="94"/>
        <v>0</v>
      </c>
      <c r="DA41" s="360">
        <f t="shared" si="95"/>
        <v>0</v>
      </c>
      <c r="DB41" s="360">
        <f t="shared" si="96"/>
        <v>0</v>
      </c>
      <c r="DC41" s="360">
        <f t="shared" si="97"/>
        <v>0</v>
      </c>
      <c r="DD41" s="360">
        <f t="shared" si="98"/>
        <v>0</v>
      </c>
      <c r="DE41" s="360">
        <f t="shared" si="99"/>
        <v>0</v>
      </c>
      <c r="DF41" s="360">
        <f t="shared" si="100"/>
        <v>0</v>
      </c>
      <c r="DG41" s="360">
        <f t="shared" si="101"/>
        <v>0</v>
      </c>
      <c r="DH41" s="360">
        <f t="shared" si="102"/>
        <v>0</v>
      </c>
      <c r="DI41" s="360">
        <f t="shared" si="103"/>
        <v>0</v>
      </c>
      <c r="DJ41" s="359"/>
    </row>
    <row r="42" spans="1:114" x14ac:dyDescent="0.35">
      <c r="G42" s="357">
        <f>SUM(G2:G41)</f>
        <v>698452278.01630187</v>
      </c>
      <c r="I42" s="357">
        <f>SUM(I2:I41)</f>
        <v>61450000</v>
      </c>
      <c r="J42" s="357">
        <f>SUM(J2:J41)</f>
        <v>637002278.01630187</v>
      </c>
      <c r="K42" s="357">
        <f>SUM(K2:K41)</f>
        <v>375752278.01630181</v>
      </c>
      <c r="M42" s="357">
        <f>SUM(M2:M41)</f>
        <v>61250000</v>
      </c>
    </row>
    <row r="43" spans="1:114" ht="14" x14ac:dyDescent="0.3">
      <c r="C43" s="358"/>
      <c r="AG43" s="354" t="s">
        <v>15</v>
      </c>
      <c r="AH43" s="357">
        <f t="shared" ref="AH43:BJ43" si="104">SUM(AH2:AH41)</f>
        <v>16409611.810913794</v>
      </c>
      <c r="AI43" s="357">
        <f t="shared" si="104"/>
        <v>43086653.411167815</v>
      </c>
      <c r="AJ43" s="357">
        <f t="shared" si="104"/>
        <v>23073456.187724583</v>
      </c>
      <c r="AK43" s="357">
        <f t="shared" si="104"/>
        <v>18774151.467731435</v>
      </c>
      <c r="AL43" s="357">
        <f t="shared" si="104"/>
        <v>30900181.226892527</v>
      </c>
      <c r="AM43" s="357">
        <f t="shared" si="104"/>
        <v>199147726.96026784</v>
      </c>
      <c r="AN43" s="357">
        <f t="shared" si="104"/>
        <v>34451723.125320837</v>
      </c>
      <c r="AO43" s="357">
        <f t="shared" si="104"/>
        <v>9021663.3543056939</v>
      </c>
      <c r="AP43" s="357">
        <f t="shared" si="104"/>
        <v>68458.33451481715</v>
      </c>
      <c r="AQ43" s="357">
        <f t="shared" si="104"/>
        <v>67480.358307462608</v>
      </c>
      <c r="AR43" s="357">
        <f t="shared" si="104"/>
        <v>41075.000708890286</v>
      </c>
      <c r="AS43" s="357">
        <f t="shared" si="104"/>
        <v>35207.143464763103</v>
      </c>
      <c r="AT43" s="357">
        <f t="shared" si="104"/>
        <v>34229.167257408575</v>
      </c>
      <c r="AU43" s="357">
        <f t="shared" si="104"/>
        <v>34229.167257408575</v>
      </c>
      <c r="AV43" s="357">
        <f t="shared" si="104"/>
        <v>34229.167257408575</v>
      </c>
      <c r="AW43" s="357">
        <f t="shared" si="104"/>
        <v>9489.4550535631133</v>
      </c>
      <c r="AX43" s="357">
        <f t="shared" si="104"/>
        <v>8251.7000465766196</v>
      </c>
      <c r="AY43" s="357">
        <f t="shared" si="104"/>
        <v>6601.3600372612964</v>
      </c>
      <c r="AZ43" s="357">
        <f t="shared" si="104"/>
        <v>6601.3600372612964</v>
      </c>
      <c r="BA43" s="357">
        <f t="shared" si="104"/>
        <v>6188.7750349324651</v>
      </c>
      <c r="BB43" s="357">
        <f t="shared" si="104"/>
        <v>5363.6050302748035</v>
      </c>
      <c r="BC43" s="357">
        <f t="shared" si="104"/>
        <v>4951.0200279459714</v>
      </c>
      <c r="BD43" s="357">
        <f t="shared" si="104"/>
        <v>4125.8500232883098</v>
      </c>
      <c r="BE43" s="357">
        <f t="shared" si="104"/>
        <v>4125.8500232883098</v>
      </c>
      <c r="BF43" s="357">
        <f t="shared" si="104"/>
        <v>4125.8500232883098</v>
      </c>
      <c r="BG43" s="357">
        <f t="shared" si="104"/>
        <v>4125.8500232883098</v>
      </c>
      <c r="BH43" s="357">
        <f t="shared" si="104"/>
        <v>4125.8500232883098</v>
      </c>
      <c r="BI43" s="357">
        <f t="shared" si="104"/>
        <v>4125.8500232883098</v>
      </c>
      <c r="BJ43" s="357">
        <f t="shared" si="104"/>
        <v>500000</v>
      </c>
      <c r="BK43" s="357"/>
      <c r="BM43" s="352" t="s">
        <v>15</v>
      </c>
      <c r="BN43" s="353">
        <f t="shared" ref="BN43:DI43" si="105">SUM(BN2:BN41)</f>
        <v>4496067.3854198512</v>
      </c>
      <c r="BO43" s="353">
        <f t="shared" si="105"/>
        <v>8891915.0486055575</v>
      </c>
      <c r="BP43" s="353">
        <f t="shared" si="105"/>
        <v>2891289.9193126285</v>
      </c>
      <c r="BQ43" s="353">
        <f t="shared" si="105"/>
        <v>28130.818181818184</v>
      </c>
      <c r="BR43" s="353">
        <f t="shared" si="105"/>
        <v>28130.818181818184</v>
      </c>
      <c r="BS43" s="353">
        <f t="shared" si="105"/>
        <v>74077.821212121213</v>
      </c>
      <c r="BT43" s="353">
        <f t="shared" si="105"/>
        <v>15586366.877468949</v>
      </c>
      <c r="BU43" s="353">
        <f t="shared" si="105"/>
        <v>17025305.279475696</v>
      </c>
      <c r="BV43" s="353">
        <f t="shared" si="105"/>
        <v>10023138.166344384</v>
      </c>
      <c r="BW43" s="353">
        <f t="shared" si="105"/>
        <v>97520.090909090912</v>
      </c>
      <c r="BX43" s="353">
        <f t="shared" si="105"/>
        <v>97520.090909090912</v>
      </c>
      <c r="BY43" s="353">
        <f t="shared" si="105"/>
        <v>256802.90606060604</v>
      </c>
      <c r="BZ43" s="353">
        <f t="shared" si="105"/>
        <v>6294494.3160664104</v>
      </c>
      <c r="CA43" s="353">
        <f t="shared" si="105"/>
        <v>10798680.978877172</v>
      </c>
      <c r="CB43" s="353">
        <f t="shared" si="105"/>
        <v>5797805.7985692034</v>
      </c>
      <c r="CC43" s="353">
        <f t="shared" si="105"/>
        <v>39383.113858661134</v>
      </c>
      <c r="CD43" s="353">
        <f t="shared" si="105"/>
        <v>39383.113858661134</v>
      </c>
      <c r="CE43" s="353">
        <f t="shared" si="105"/>
        <v>103708.86649447431</v>
      </c>
      <c r="CF43" s="353">
        <f t="shared" si="105"/>
        <v>4837768.4886338981</v>
      </c>
      <c r="CG43" s="353">
        <f t="shared" si="105"/>
        <v>10496382.167099684</v>
      </c>
      <c r="CH43" s="353">
        <f t="shared" si="105"/>
        <v>3299755.6681607878</v>
      </c>
      <c r="CI43" s="353">
        <f t="shared" si="105"/>
        <v>30268.736079942413</v>
      </c>
      <c r="CJ43" s="353">
        <f t="shared" si="105"/>
        <v>30268.736079942413</v>
      </c>
      <c r="CK43" s="353">
        <f t="shared" si="105"/>
        <v>79707.671677181686</v>
      </c>
      <c r="CL43" s="353">
        <f t="shared" si="105"/>
        <v>7979020.8901756126</v>
      </c>
      <c r="CM43" s="353">
        <f t="shared" si="105"/>
        <v>17247503.48322355</v>
      </c>
      <c r="CN43" s="353">
        <f t="shared" si="105"/>
        <v>5442347.94835441</v>
      </c>
      <c r="CO43" s="353">
        <f t="shared" si="105"/>
        <v>49922.785281788536</v>
      </c>
      <c r="CP43" s="353">
        <f t="shared" si="105"/>
        <v>49922.785281788536</v>
      </c>
      <c r="CQ43" s="353">
        <f t="shared" si="105"/>
        <v>131463.33457537647</v>
      </c>
      <c r="CR43" s="353">
        <f t="shared" si="105"/>
        <v>97125826.29864794</v>
      </c>
      <c r="CS43" s="353">
        <f t="shared" si="105"/>
        <v>56160329.25277295</v>
      </c>
      <c r="CT43" s="353">
        <f t="shared" si="105"/>
        <v>44375702.784550905</v>
      </c>
      <c r="CU43" s="353">
        <f t="shared" si="105"/>
        <v>320691.0699919553</v>
      </c>
      <c r="CV43" s="353">
        <f t="shared" si="105"/>
        <v>320691.0699919553</v>
      </c>
      <c r="CW43" s="353">
        <f t="shared" si="105"/>
        <v>844486.48431214888</v>
      </c>
      <c r="CX43" s="353">
        <f t="shared" si="105"/>
        <v>14422134.737237729</v>
      </c>
      <c r="CY43" s="353">
        <f t="shared" si="105"/>
        <v>11938829.969824534</v>
      </c>
      <c r="CZ43" s="353">
        <f t="shared" si="105"/>
        <v>7830079.7122417195</v>
      </c>
      <c r="DA43" s="353">
        <f t="shared" si="105"/>
        <v>56261.591226658762</v>
      </c>
      <c r="DB43" s="353">
        <f t="shared" si="105"/>
        <v>56261.591226658762</v>
      </c>
      <c r="DC43" s="353">
        <f t="shared" si="105"/>
        <v>148155.52356353472</v>
      </c>
      <c r="DD43" s="353">
        <f t="shared" si="105"/>
        <v>3896591.7194696823</v>
      </c>
      <c r="DE43" s="353">
        <f t="shared" si="105"/>
        <v>2506326.3202572982</v>
      </c>
      <c r="DF43" s="353">
        <f t="shared" si="105"/>
        <v>2505784.5419714116</v>
      </c>
      <c r="DG43" s="353">
        <f t="shared" si="105"/>
        <v>24380.022864885465</v>
      </c>
      <c r="DH43" s="353">
        <f t="shared" si="105"/>
        <v>24380.022864885465</v>
      </c>
      <c r="DI43" s="353">
        <f t="shared" si="105"/>
        <v>64200.726877531721</v>
      </c>
    </row>
    <row r="44" spans="1:114" ht="14" x14ac:dyDescent="0.3">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M44" s="4"/>
      <c r="BN44" s="4"/>
      <c r="BO44" s="4"/>
      <c r="BP44" s="4"/>
      <c r="BQ44" s="4"/>
      <c r="BR44" s="4"/>
      <c r="BS44" s="356"/>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row>
    <row r="45" spans="1:114" ht="14" x14ac:dyDescent="0.3">
      <c r="B45" s="349"/>
      <c r="AG45" s="354" t="s">
        <v>433</v>
      </c>
      <c r="AH45" s="355">
        <f t="shared" ref="AH45:BJ45" si="106">(AH43-((SUM(AH21:AH26))))*0.2</f>
        <v>2471705.9321152698</v>
      </c>
      <c r="AI45" s="355">
        <f t="shared" si="106"/>
        <v>5808580.3913329355</v>
      </c>
      <c r="AJ45" s="355">
        <f t="shared" si="106"/>
        <v>3480388.2354504317</v>
      </c>
      <c r="AK45" s="355">
        <f t="shared" si="106"/>
        <v>2883037.4147936688</v>
      </c>
      <c r="AL45" s="355">
        <f t="shared" si="106"/>
        <v>4742172.1541520683</v>
      </c>
      <c r="AM45" s="355">
        <f t="shared" si="106"/>
        <v>19653792.517955359</v>
      </c>
      <c r="AN45" s="355">
        <f t="shared" si="106"/>
        <v>3566411.7649291898</v>
      </c>
      <c r="AO45" s="355">
        <f t="shared" si="106"/>
        <v>1102145.0981359817</v>
      </c>
      <c r="AP45" s="355">
        <f t="shared" si="106"/>
        <v>13691.66690296343</v>
      </c>
      <c r="AQ45" s="355">
        <f t="shared" si="106"/>
        <v>13496.071661492522</v>
      </c>
      <c r="AR45" s="355">
        <f t="shared" si="106"/>
        <v>8215.0001417780568</v>
      </c>
      <c r="AS45" s="355">
        <f t="shared" si="106"/>
        <v>7041.4286929526206</v>
      </c>
      <c r="AT45" s="355">
        <f t="shared" si="106"/>
        <v>6845.8334514817152</v>
      </c>
      <c r="AU45" s="355">
        <f t="shared" si="106"/>
        <v>6845.8334514817152</v>
      </c>
      <c r="AV45" s="355">
        <f t="shared" si="106"/>
        <v>6845.8334514817152</v>
      </c>
      <c r="AW45" s="355">
        <f t="shared" si="106"/>
        <v>1897.8910107126228</v>
      </c>
      <c r="AX45" s="355">
        <f t="shared" si="106"/>
        <v>1650.3400093153241</v>
      </c>
      <c r="AY45" s="355">
        <f t="shared" si="106"/>
        <v>1320.2720074522595</v>
      </c>
      <c r="AZ45" s="355">
        <f t="shared" si="106"/>
        <v>1320.2720074522595</v>
      </c>
      <c r="BA45" s="355">
        <f t="shared" si="106"/>
        <v>1237.7550069864931</v>
      </c>
      <c r="BB45" s="355">
        <f t="shared" si="106"/>
        <v>1072.7210060549608</v>
      </c>
      <c r="BC45" s="355">
        <f t="shared" si="106"/>
        <v>990.20400558919437</v>
      </c>
      <c r="BD45" s="355">
        <f t="shared" si="106"/>
        <v>825.17000465766205</v>
      </c>
      <c r="BE45" s="355">
        <f t="shared" si="106"/>
        <v>825.17000465766205</v>
      </c>
      <c r="BF45" s="355">
        <f t="shared" si="106"/>
        <v>825.17000465766205</v>
      </c>
      <c r="BG45" s="355">
        <f t="shared" si="106"/>
        <v>825.17000465766205</v>
      </c>
      <c r="BH45" s="355">
        <f t="shared" si="106"/>
        <v>825.17000465766205</v>
      </c>
      <c r="BI45" s="355">
        <f t="shared" si="106"/>
        <v>825.17000465766205</v>
      </c>
      <c r="BJ45" s="355">
        <f t="shared" si="106"/>
        <v>100000</v>
      </c>
      <c r="BK45" s="4"/>
      <c r="BM45" s="352" t="s">
        <v>433</v>
      </c>
      <c r="BN45" s="355">
        <f t="shared" ref="BN45:DI45" si="107">(BN43-((SUM(BN21:BN26))))*0.2</f>
        <v>88997.047016481316</v>
      </c>
      <c r="BO45" s="355">
        <f t="shared" si="107"/>
        <v>1778383.0097211115</v>
      </c>
      <c r="BP45" s="355">
        <f t="shared" si="107"/>
        <v>578257.98386252567</v>
      </c>
      <c r="BQ45" s="355">
        <f t="shared" si="107"/>
        <v>5626.1636363636371</v>
      </c>
      <c r="BR45" s="355">
        <f t="shared" si="107"/>
        <v>5626.1636363636371</v>
      </c>
      <c r="BS45" s="355">
        <f t="shared" si="107"/>
        <v>14815.564242424243</v>
      </c>
      <c r="BT45" s="355">
        <f t="shared" si="107"/>
        <v>308523.08459316159</v>
      </c>
      <c r="BU45" s="355">
        <f t="shared" si="107"/>
        <v>3405061.0558951395</v>
      </c>
      <c r="BV45" s="355">
        <f t="shared" si="107"/>
        <v>2004627.6332688769</v>
      </c>
      <c r="BW45" s="355">
        <f t="shared" si="107"/>
        <v>19504.018181818185</v>
      </c>
      <c r="BX45" s="355">
        <f t="shared" si="107"/>
        <v>19504.018181818185</v>
      </c>
      <c r="BY45" s="355">
        <f t="shared" si="107"/>
        <v>51360.581212121207</v>
      </c>
      <c r="BZ45" s="355">
        <f t="shared" si="107"/>
        <v>124595.86111879759</v>
      </c>
      <c r="CA45" s="355">
        <f t="shared" si="107"/>
        <v>2159736.1957754344</v>
      </c>
      <c r="CB45" s="355">
        <f t="shared" si="107"/>
        <v>1159561.1597138408</v>
      </c>
      <c r="CC45" s="355">
        <f t="shared" si="107"/>
        <v>7876.6227717322272</v>
      </c>
      <c r="CD45" s="355">
        <f t="shared" si="107"/>
        <v>7876.6227717322272</v>
      </c>
      <c r="CE45" s="355">
        <f t="shared" si="107"/>
        <v>20741.773298894863</v>
      </c>
      <c r="CF45" s="355">
        <f t="shared" si="107"/>
        <v>95760.818974161521</v>
      </c>
      <c r="CG45" s="355">
        <f t="shared" si="107"/>
        <v>2099276.4334199368</v>
      </c>
      <c r="CH45" s="355">
        <f t="shared" si="107"/>
        <v>659951.13363215758</v>
      </c>
      <c r="CI45" s="355">
        <f t="shared" si="107"/>
        <v>6053.7472159884828</v>
      </c>
      <c r="CJ45" s="355">
        <f t="shared" si="107"/>
        <v>6053.7472159884828</v>
      </c>
      <c r="CK45" s="355">
        <f t="shared" si="107"/>
        <v>15941.534335436338</v>
      </c>
      <c r="CL45" s="355">
        <f t="shared" si="107"/>
        <v>157940.08680868542</v>
      </c>
      <c r="CM45" s="355">
        <f t="shared" si="107"/>
        <v>3449500.6966447104</v>
      </c>
      <c r="CN45" s="355">
        <f t="shared" si="107"/>
        <v>1088469.5896708821</v>
      </c>
      <c r="CO45" s="355">
        <f t="shared" si="107"/>
        <v>9984.5570563577076</v>
      </c>
      <c r="CP45" s="355">
        <f t="shared" si="107"/>
        <v>9984.5570563577076</v>
      </c>
      <c r="CQ45" s="355">
        <f t="shared" si="107"/>
        <v>26292.666915075297</v>
      </c>
      <c r="CR45" s="355">
        <f t="shared" si="107"/>
        <v>1008912.3856313796</v>
      </c>
      <c r="CS45" s="355">
        <f t="shared" si="107"/>
        <v>9472565.850554591</v>
      </c>
      <c r="CT45" s="355">
        <f t="shared" si="107"/>
        <v>8875140.5569101814</v>
      </c>
      <c r="CU45" s="355">
        <f t="shared" si="107"/>
        <v>64138.21399839106</v>
      </c>
      <c r="CV45" s="355">
        <f t="shared" si="107"/>
        <v>64138.21399839106</v>
      </c>
      <c r="CW45" s="355">
        <f t="shared" si="107"/>
        <v>168897.29686242979</v>
      </c>
      <c r="CX45" s="355">
        <f t="shared" si="107"/>
        <v>177994.08731256798</v>
      </c>
      <c r="CY45" s="355">
        <f t="shared" si="107"/>
        <v>1770265.9939649068</v>
      </c>
      <c r="CZ45" s="355">
        <f t="shared" si="107"/>
        <v>1566015.9424483441</v>
      </c>
      <c r="DA45" s="355">
        <f t="shared" si="107"/>
        <v>11252.318245331753</v>
      </c>
      <c r="DB45" s="355">
        <f t="shared" si="107"/>
        <v>11252.318245331753</v>
      </c>
      <c r="DC45" s="355">
        <f t="shared" si="107"/>
        <v>29631.104712706947</v>
      </c>
      <c r="DD45" s="355">
        <f t="shared" si="107"/>
        <v>77130.771168779393</v>
      </c>
      <c r="DE45" s="355">
        <f t="shared" si="107"/>
        <v>501265.26405145967</v>
      </c>
      <c r="DF45" s="355">
        <f t="shared" si="107"/>
        <v>501156.90839428233</v>
      </c>
      <c r="DG45" s="355">
        <f t="shared" si="107"/>
        <v>4876.0045729770927</v>
      </c>
      <c r="DH45" s="355">
        <f t="shared" si="107"/>
        <v>4876.0045729770927</v>
      </c>
      <c r="DI45" s="355">
        <f t="shared" si="107"/>
        <v>12840.145375506345</v>
      </c>
    </row>
    <row r="46" spans="1:114" ht="14" x14ac:dyDescent="0.3">
      <c r="B46" s="349"/>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row>
    <row r="47" spans="1:114" thickBot="1" x14ac:dyDescent="0.35">
      <c r="B47" s="349"/>
      <c r="AG47" s="354" t="s">
        <v>434</v>
      </c>
      <c r="AH47" s="110">
        <f t="shared" ref="AH47:BJ47" si="108">SUM(AH43:AH45)</f>
        <v>18881317.743029065</v>
      </c>
      <c r="AI47" s="110">
        <f t="shared" si="108"/>
        <v>48895233.802500755</v>
      </c>
      <c r="AJ47" s="110">
        <f t="shared" si="108"/>
        <v>26553844.423175015</v>
      </c>
      <c r="AK47" s="110">
        <f t="shared" si="108"/>
        <v>21657188.882525105</v>
      </c>
      <c r="AL47" s="110">
        <f t="shared" si="108"/>
        <v>35642353.381044596</v>
      </c>
      <c r="AM47" s="110">
        <f t="shared" si="108"/>
        <v>218801519.4782232</v>
      </c>
      <c r="AN47" s="110">
        <f t="shared" si="108"/>
        <v>38018134.890250027</v>
      </c>
      <c r="AO47" s="110">
        <f t="shared" si="108"/>
        <v>10123808.452441676</v>
      </c>
      <c r="AP47" s="110">
        <f t="shared" si="108"/>
        <v>82150.001417780586</v>
      </c>
      <c r="AQ47" s="110">
        <f t="shared" si="108"/>
        <v>80976.429968955126</v>
      </c>
      <c r="AR47" s="110">
        <f t="shared" si="108"/>
        <v>49290.000850668344</v>
      </c>
      <c r="AS47" s="110">
        <f t="shared" si="108"/>
        <v>42248.572157715724</v>
      </c>
      <c r="AT47" s="110">
        <f t="shared" si="108"/>
        <v>41075.000708890293</v>
      </c>
      <c r="AU47" s="110">
        <f t="shared" si="108"/>
        <v>41075.000708890293</v>
      </c>
      <c r="AV47" s="110">
        <f t="shared" si="108"/>
        <v>41075.000708890293</v>
      </c>
      <c r="AW47" s="110">
        <f t="shared" si="108"/>
        <v>11387.346064275736</v>
      </c>
      <c r="AX47" s="110">
        <f t="shared" si="108"/>
        <v>9902.0400558919428</v>
      </c>
      <c r="AY47" s="110">
        <f t="shared" si="108"/>
        <v>7921.6320447135558</v>
      </c>
      <c r="AZ47" s="110">
        <f t="shared" si="108"/>
        <v>7921.6320447135558</v>
      </c>
      <c r="BA47" s="110">
        <f t="shared" si="108"/>
        <v>7426.530041918958</v>
      </c>
      <c r="BB47" s="110">
        <f t="shared" si="108"/>
        <v>6436.3260363297641</v>
      </c>
      <c r="BC47" s="110">
        <f t="shared" si="108"/>
        <v>5941.2240335351653</v>
      </c>
      <c r="BD47" s="110">
        <f t="shared" si="108"/>
        <v>4951.0200279459714</v>
      </c>
      <c r="BE47" s="110">
        <f t="shared" si="108"/>
        <v>4951.0200279459714</v>
      </c>
      <c r="BF47" s="110">
        <f t="shared" si="108"/>
        <v>4951.0200279459714</v>
      </c>
      <c r="BG47" s="110">
        <f t="shared" si="108"/>
        <v>4951.0200279459714</v>
      </c>
      <c r="BH47" s="110">
        <f t="shared" si="108"/>
        <v>4951.0200279459714</v>
      </c>
      <c r="BI47" s="110">
        <f t="shared" si="108"/>
        <v>4951.0200279459714</v>
      </c>
      <c r="BJ47" s="110">
        <f t="shared" si="108"/>
        <v>600000</v>
      </c>
      <c r="BK47" s="353"/>
      <c r="BM47" s="352" t="s">
        <v>434</v>
      </c>
      <c r="BN47" s="110">
        <f t="shared" ref="BN47:DI47" si="109">SUM(BN43:BN45)</f>
        <v>4585064.4324363321</v>
      </c>
      <c r="BO47" s="110">
        <f t="shared" si="109"/>
        <v>10670298.058326669</v>
      </c>
      <c r="BP47" s="110">
        <f t="shared" si="109"/>
        <v>3469547.9031751542</v>
      </c>
      <c r="BQ47" s="110">
        <f t="shared" si="109"/>
        <v>33756.981818181819</v>
      </c>
      <c r="BR47" s="110">
        <f t="shared" si="109"/>
        <v>33756.981818181819</v>
      </c>
      <c r="BS47" s="110">
        <f t="shared" si="109"/>
        <v>88893.385454545452</v>
      </c>
      <c r="BT47" s="110">
        <f t="shared" si="109"/>
        <v>15894889.962062111</v>
      </c>
      <c r="BU47" s="110">
        <f t="shared" si="109"/>
        <v>20430366.335370835</v>
      </c>
      <c r="BV47" s="110">
        <f t="shared" si="109"/>
        <v>12027765.79961326</v>
      </c>
      <c r="BW47" s="110">
        <f t="shared" si="109"/>
        <v>117024.1090909091</v>
      </c>
      <c r="BX47" s="110">
        <f t="shared" si="109"/>
        <v>117024.1090909091</v>
      </c>
      <c r="BY47" s="110">
        <f t="shared" si="109"/>
        <v>308163.48727272724</v>
      </c>
      <c r="BZ47" s="110">
        <f t="shared" si="109"/>
        <v>6419090.1771852076</v>
      </c>
      <c r="CA47" s="110">
        <f t="shared" si="109"/>
        <v>12958417.174652606</v>
      </c>
      <c r="CB47" s="110">
        <f t="shared" si="109"/>
        <v>6957366.9582830444</v>
      </c>
      <c r="CC47" s="110">
        <f t="shared" si="109"/>
        <v>47259.73663039336</v>
      </c>
      <c r="CD47" s="110">
        <f t="shared" si="109"/>
        <v>47259.73663039336</v>
      </c>
      <c r="CE47" s="110">
        <f t="shared" si="109"/>
        <v>124450.63979336916</v>
      </c>
      <c r="CF47" s="110">
        <f t="shared" si="109"/>
        <v>4933529.3076080596</v>
      </c>
      <c r="CG47" s="110">
        <f t="shared" si="109"/>
        <v>12595658.600519622</v>
      </c>
      <c r="CH47" s="110">
        <f t="shared" si="109"/>
        <v>3959706.8017929452</v>
      </c>
      <c r="CI47" s="110">
        <f t="shared" si="109"/>
        <v>36322.483295930899</v>
      </c>
      <c r="CJ47" s="110">
        <f t="shared" si="109"/>
        <v>36322.483295930899</v>
      </c>
      <c r="CK47" s="110">
        <f t="shared" si="109"/>
        <v>95649.206012618029</v>
      </c>
      <c r="CL47" s="110">
        <f t="shared" si="109"/>
        <v>8136960.9769842979</v>
      </c>
      <c r="CM47" s="110">
        <f t="shared" si="109"/>
        <v>20697004.179868259</v>
      </c>
      <c r="CN47" s="110">
        <f t="shared" si="109"/>
        <v>6530817.5380252916</v>
      </c>
      <c r="CO47" s="110">
        <f t="shared" si="109"/>
        <v>59907.342338146242</v>
      </c>
      <c r="CP47" s="110">
        <f t="shared" si="109"/>
        <v>59907.342338146242</v>
      </c>
      <c r="CQ47" s="110">
        <f t="shared" si="109"/>
        <v>157756.00149045177</v>
      </c>
      <c r="CR47" s="110">
        <f t="shared" si="109"/>
        <v>98134738.684279323</v>
      </c>
      <c r="CS47" s="110">
        <f t="shared" si="109"/>
        <v>65632895.103327543</v>
      </c>
      <c r="CT47" s="110">
        <f t="shared" si="109"/>
        <v>53250843.341461085</v>
      </c>
      <c r="CU47" s="110">
        <f t="shared" si="109"/>
        <v>384829.28399034636</v>
      </c>
      <c r="CV47" s="110">
        <f t="shared" si="109"/>
        <v>384829.28399034636</v>
      </c>
      <c r="CW47" s="110">
        <f t="shared" si="109"/>
        <v>1013383.7811745787</v>
      </c>
      <c r="CX47" s="110">
        <f t="shared" si="109"/>
        <v>14600128.824550297</v>
      </c>
      <c r="CY47" s="110">
        <f t="shared" si="109"/>
        <v>13709095.963789441</v>
      </c>
      <c r="CZ47" s="110">
        <f t="shared" si="109"/>
        <v>9396095.6546900645</v>
      </c>
      <c r="DA47" s="110">
        <f t="shared" si="109"/>
        <v>67513.909471990512</v>
      </c>
      <c r="DB47" s="110">
        <f t="shared" si="109"/>
        <v>67513.909471990512</v>
      </c>
      <c r="DC47" s="110">
        <f t="shared" si="109"/>
        <v>177786.62827624165</v>
      </c>
      <c r="DD47" s="110">
        <f t="shared" si="109"/>
        <v>3973722.4906384619</v>
      </c>
      <c r="DE47" s="110">
        <f t="shared" si="109"/>
        <v>3007591.5843087579</v>
      </c>
      <c r="DF47" s="110">
        <f t="shared" si="109"/>
        <v>3006941.4503656938</v>
      </c>
      <c r="DG47" s="110">
        <f t="shared" si="109"/>
        <v>29256.027437862558</v>
      </c>
      <c r="DH47" s="110">
        <f t="shared" si="109"/>
        <v>29256.027437862558</v>
      </c>
      <c r="DI47" s="110">
        <f t="shared" si="109"/>
        <v>77040.872253038062</v>
      </c>
    </row>
    <row r="48" spans="1:114" ht="15" thickTop="1" x14ac:dyDescent="0.35">
      <c r="B48" s="349"/>
      <c r="AH48" s="291"/>
      <c r="AI48" s="291"/>
      <c r="AJ48" s="291"/>
      <c r="AK48" s="291"/>
      <c r="AL48" s="291"/>
      <c r="AM48" s="291"/>
      <c r="AN48" s="290"/>
      <c r="AO48" s="291"/>
      <c r="AP48" s="291"/>
      <c r="AQ48" s="291"/>
      <c r="AR48" s="291"/>
      <c r="AS48" s="291"/>
      <c r="AT48" s="291"/>
      <c r="AU48" s="291"/>
      <c r="AV48" s="291"/>
      <c r="AW48" s="291"/>
      <c r="AX48" s="291"/>
      <c r="AY48" s="291"/>
      <c r="AZ48" s="291"/>
      <c r="BA48" s="291"/>
      <c r="BB48" s="291"/>
      <c r="BC48" s="291"/>
      <c r="BD48" s="291"/>
      <c r="BE48" s="291"/>
      <c r="BF48" s="291"/>
      <c r="BG48" s="291"/>
      <c r="BH48" s="291"/>
      <c r="BI48" s="291"/>
      <c r="BN48" s="348"/>
      <c r="BO48" s="348"/>
      <c r="BP48" s="348"/>
      <c r="BQ48" s="348"/>
      <c r="BR48" s="348"/>
      <c r="BS48" s="351">
        <f>SUM(BN47:BS47)</f>
        <v>18881317.743029062</v>
      </c>
      <c r="BT48" s="348"/>
      <c r="BU48" s="348"/>
      <c r="BV48" s="348"/>
      <c r="BW48" s="348"/>
      <c r="BX48" s="348"/>
      <c r="BY48" s="351">
        <f>SUM(BT47:BY47)</f>
        <v>48895233.802500747</v>
      </c>
      <c r="BZ48" s="348"/>
      <c r="CA48" s="348"/>
      <c r="CB48" s="348"/>
      <c r="CC48" s="348"/>
      <c r="CD48" s="348"/>
      <c r="CE48" s="351">
        <f>SUM(BZ47:CE47)</f>
        <v>26553844.423175018</v>
      </c>
      <c r="CF48" s="348"/>
      <c r="CG48" s="348"/>
      <c r="CH48" s="348"/>
      <c r="CI48" s="348"/>
      <c r="CJ48" s="348"/>
      <c r="CK48" s="351">
        <f>SUM(CF47:CK47)</f>
        <v>21657188.882525109</v>
      </c>
      <c r="CL48" s="348"/>
      <c r="CM48" s="348"/>
      <c r="CN48" s="348"/>
      <c r="CO48" s="348"/>
      <c r="CP48" s="348"/>
      <c r="CQ48" s="351">
        <f>SUM(CL47:CQ47)</f>
        <v>35642353.381044589</v>
      </c>
      <c r="CR48" s="348"/>
      <c r="CS48" s="348"/>
      <c r="CT48" s="348"/>
      <c r="CU48" s="348"/>
      <c r="CV48" s="348"/>
      <c r="CW48" s="351">
        <f>SUM(CR47:CW47)</f>
        <v>218801519.47822323</v>
      </c>
      <c r="CX48" s="348"/>
      <c r="CY48" s="348"/>
      <c r="CZ48" s="348"/>
      <c r="DA48" s="348"/>
      <c r="DB48" s="348"/>
      <c r="DC48" s="351">
        <f>SUM(CX47:DC47)</f>
        <v>38018134.890250027</v>
      </c>
      <c r="DD48" s="348"/>
      <c r="DE48" s="348"/>
      <c r="DF48" s="348"/>
      <c r="DG48" s="348"/>
      <c r="DH48" s="348"/>
      <c r="DI48" s="351">
        <f>SUM(DD47:DI47)</f>
        <v>10123808.452441676</v>
      </c>
    </row>
    <row r="49" spans="2:113" x14ac:dyDescent="0.35">
      <c r="B49" s="349"/>
      <c r="AH49" s="291"/>
      <c r="AI49" s="291"/>
      <c r="AJ49" s="291"/>
      <c r="AK49" s="291"/>
      <c r="AL49" s="291"/>
      <c r="AM49" s="291"/>
      <c r="AN49" s="290"/>
      <c r="AO49" s="291"/>
      <c r="AP49" s="291"/>
      <c r="AQ49" s="291"/>
      <c r="AR49" s="291"/>
      <c r="AS49" s="291"/>
      <c r="AT49" s="291"/>
      <c r="AU49" s="291"/>
      <c r="AV49" s="291"/>
      <c r="AW49" s="291"/>
      <c r="AX49" s="291"/>
      <c r="AY49" s="291"/>
      <c r="AZ49" s="291"/>
      <c r="BA49" s="291"/>
      <c r="BB49" s="291"/>
      <c r="BC49" s="291"/>
      <c r="BD49" s="291"/>
      <c r="BE49" s="291"/>
      <c r="BF49" s="291"/>
      <c r="BG49" s="291"/>
      <c r="BH49" s="291"/>
      <c r="BI49" s="291"/>
      <c r="BN49" s="348"/>
      <c r="BO49" s="348"/>
      <c r="BP49" s="348"/>
      <c r="BQ49" s="348"/>
      <c r="BR49" s="348"/>
      <c r="BS49" s="350" t="b">
        <f>BS48=AH47</f>
        <v>1</v>
      </c>
      <c r="BT49" s="348"/>
      <c r="BU49" s="348"/>
      <c r="BV49" s="348"/>
      <c r="BW49" s="348"/>
      <c r="BX49" s="348"/>
      <c r="BY49" s="350" t="b">
        <f>BY48=AI47</f>
        <v>0</v>
      </c>
      <c r="BZ49" s="348"/>
      <c r="CA49" s="348"/>
      <c r="CB49" s="348"/>
      <c r="CC49" s="348"/>
      <c r="CD49" s="348"/>
      <c r="CE49" s="350" t="b">
        <f>CE48=AJ47</f>
        <v>1</v>
      </c>
      <c r="CF49" s="348"/>
      <c r="CG49" s="348"/>
      <c r="CH49" s="348"/>
      <c r="CI49" s="348"/>
      <c r="CJ49" s="348"/>
      <c r="CK49" s="350" t="b">
        <f>CK48=AK47</f>
        <v>1</v>
      </c>
      <c r="CL49" s="348"/>
      <c r="CM49" s="348"/>
      <c r="CN49" s="348"/>
      <c r="CO49" s="348"/>
      <c r="CP49" s="348"/>
      <c r="CQ49" s="350" t="b">
        <f>CQ48=AL47</f>
        <v>1</v>
      </c>
      <c r="CR49" s="348"/>
      <c r="CS49" s="348"/>
      <c r="CT49" s="348"/>
      <c r="CU49" s="348"/>
      <c r="CV49" s="348"/>
      <c r="CW49" s="350" t="b">
        <f>CW48=AM47</f>
        <v>1</v>
      </c>
      <c r="CX49" s="348"/>
      <c r="CY49" s="348"/>
      <c r="CZ49" s="348"/>
      <c r="DA49" s="348"/>
      <c r="DB49" s="348"/>
      <c r="DC49" s="350" t="b">
        <f>DC48=AN47</f>
        <v>1</v>
      </c>
      <c r="DD49" s="348"/>
      <c r="DE49" s="348"/>
      <c r="DF49" s="348"/>
      <c r="DG49" s="348"/>
      <c r="DH49" s="348"/>
      <c r="DI49" s="350" t="b">
        <f>DI48=AO47</f>
        <v>1</v>
      </c>
    </row>
    <row r="50" spans="2:113" x14ac:dyDescent="0.35">
      <c r="B50" s="349"/>
      <c r="AH50" s="278">
        <f t="shared" ref="AH50:BJ50" si="110">AH45/AH43</f>
        <v>0.15062549684882698</v>
      </c>
      <c r="AI50" s="278">
        <f t="shared" si="110"/>
        <v>0.13481159318415259</v>
      </c>
      <c r="AJ50" s="278">
        <f t="shared" si="110"/>
        <v>0.15083948443328787</v>
      </c>
      <c r="AK50" s="278">
        <f t="shared" si="110"/>
        <v>0.15356419275454153</v>
      </c>
      <c r="AL50" s="278">
        <f t="shared" si="110"/>
        <v>0.15346745442466664</v>
      </c>
      <c r="AM50" s="278">
        <f t="shared" si="110"/>
        <v>9.8689514652991778E-2</v>
      </c>
      <c r="AN50" s="278">
        <f t="shared" si="110"/>
        <v>0.10351911142313806</v>
      </c>
      <c r="AO50" s="278">
        <f t="shared" si="110"/>
        <v>0.12216650686815643</v>
      </c>
      <c r="AP50" s="278">
        <f t="shared" si="110"/>
        <v>0.2</v>
      </c>
      <c r="AQ50" s="278">
        <f t="shared" si="110"/>
        <v>0.2</v>
      </c>
      <c r="AR50" s="278">
        <f t="shared" si="110"/>
        <v>0.19999999999999998</v>
      </c>
      <c r="AS50" s="278">
        <f t="shared" si="110"/>
        <v>0.2</v>
      </c>
      <c r="AT50" s="278">
        <f t="shared" si="110"/>
        <v>0.2</v>
      </c>
      <c r="AU50" s="278">
        <f t="shared" si="110"/>
        <v>0.2</v>
      </c>
      <c r="AV50" s="278">
        <f t="shared" si="110"/>
        <v>0.2</v>
      </c>
      <c r="AW50" s="278">
        <f t="shared" si="110"/>
        <v>0.2</v>
      </c>
      <c r="AX50" s="278">
        <f t="shared" si="110"/>
        <v>0.2</v>
      </c>
      <c r="AY50" s="278">
        <f t="shared" si="110"/>
        <v>0.20000000000000004</v>
      </c>
      <c r="AZ50" s="278">
        <f t="shared" si="110"/>
        <v>0.20000000000000004</v>
      </c>
      <c r="BA50" s="278">
        <f t="shared" si="110"/>
        <v>0.2</v>
      </c>
      <c r="BB50" s="278">
        <f t="shared" si="110"/>
        <v>0.2</v>
      </c>
      <c r="BC50" s="278">
        <f t="shared" si="110"/>
        <v>0.2</v>
      </c>
      <c r="BD50" s="278">
        <f t="shared" si="110"/>
        <v>0.2</v>
      </c>
      <c r="BE50" s="278">
        <f t="shared" si="110"/>
        <v>0.2</v>
      </c>
      <c r="BF50" s="278">
        <f t="shared" si="110"/>
        <v>0.2</v>
      </c>
      <c r="BG50" s="278">
        <f t="shared" si="110"/>
        <v>0.2</v>
      </c>
      <c r="BH50" s="278">
        <f t="shared" si="110"/>
        <v>0.2</v>
      </c>
      <c r="BI50" s="278">
        <f t="shared" si="110"/>
        <v>0.2</v>
      </c>
      <c r="BJ50" s="278">
        <f t="shared" si="110"/>
        <v>0.2</v>
      </c>
    </row>
    <row r="51" spans="2:113" x14ac:dyDescent="0.35">
      <c r="B51" s="349"/>
      <c r="AH51" s="291"/>
      <c r="AI51" s="291"/>
      <c r="AJ51" s="291"/>
      <c r="AK51" s="291"/>
      <c r="AL51" s="291"/>
      <c r="AM51" s="291"/>
      <c r="AN51" s="290"/>
      <c r="AO51" s="291"/>
      <c r="AP51" s="291"/>
      <c r="AQ51" s="291"/>
      <c r="AR51" s="291"/>
      <c r="AS51" s="291"/>
      <c r="AT51" s="291"/>
      <c r="AU51" s="291"/>
      <c r="AV51" s="291"/>
      <c r="AW51" s="291"/>
      <c r="AX51" s="291"/>
      <c r="AY51" s="291"/>
      <c r="AZ51" s="291"/>
      <c r="BA51" s="291"/>
      <c r="BB51" s="291"/>
      <c r="BC51" s="291"/>
      <c r="BD51" s="291"/>
      <c r="BE51" s="291"/>
      <c r="BF51" s="291"/>
      <c r="BG51" s="291"/>
      <c r="BH51" s="291"/>
      <c r="BI51" s="291"/>
    </row>
    <row r="52" spans="2:113" x14ac:dyDescent="0.35">
      <c r="B52" s="349"/>
      <c r="AH52" s="291"/>
      <c r="AI52" s="291"/>
      <c r="AJ52" s="291"/>
      <c r="AK52" s="291"/>
      <c r="AL52" s="291"/>
      <c r="AM52" s="291"/>
      <c r="AN52" s="290"/>
      <c r="AO52" s="291"/>
      <c r="AP52" s="291"/>
      <c r="AQ52" s="291"/>
      <c r="AR52" s="291"/>
      <c r="AS52" s="291"/>
      <c r="AT52" s="291"/>
      <c r="AU52" s="291"/>
      <c r="AV52" s="291"/>
      <c r="AW52" s="291"/>
      <c r="AX52" s="291"/>
      <c r="AY52" s="291"/>
      <c r="AZ52" s="291"/>
      <c r="BA52" s="291"/>
      <c r="BB52" s="291"/>
      <c r="BC52" s="291"/>
      <c r="BD52" s="291"/>
      <c r="BE52" s="291"/>
      <c r="BF52" s="291"/>
      <c r="BG52" s="291"/>
      <c r="BH52" s="291"/>
      <c r="BI52" s="291"/>
    </row>
    <row r="53" spans="2:113" x14ac:dyDescent="0.35">
      <c r="B53" s="349"/>
      <c r="AH53" s="291"/>
      <c r="AI53" s="291"/>
      <c r="AJ53" s="291"/>
      <c r="AK53" s="291"/>
      <c r="AL53" s="291"/>
      <c r="AM53" s="291"/>
      <c r="AN53" s="290"/>
      <c r="AO53" s="291"/>
      <c r="AP53" s="291"/>
      <c r="AQ53" s="291"/>
      <c r="AR53" s="291"/>
      <c r="AS53" s="291"/>
      <c r="AT53" s="291"/>
      <c r="AU53" s="291"/>
      <c r="AV53" s="291"/>
      <c r="AW53" s="291"/>
      <c r="AX53" s="291"/>
      <c r="AY53" s="291"/>
      <c r="AZ53" s="291"/>
      <c r="BA53" s="291"/>
      <c r="BB53" s="291"/>
      <c r="BC53" s="291"/>
      <c r="BD53" s="291"/>
      <c r="BE53" s="291"/>
      <c r="BF53" s="291"/>
      <c r="BG53" s="291"/>
      <c r="BH53" s="291"/>
      <c r="BI53" s="291"/>
    </row>
    <row r="54" spans="2:113" x14ac:dyDescent="0.35">
      <c r="B54" s="349"/>
      <c r="AH54" s="291"/>
      <c r="AI54" s="291"/>
      <c r="AJ54" s="291"/>
      <c r="AK54" s="291"/>
      <c r="AL54" s="291"/>
      <c r="AM54" s="291"/>
      <c r="AN54" s="290"/>
      <c r="AO54" s="291"/>
      <c r="AP54" s="291"/>
      <c r="AQ54" s="291"/>
      <c r="AR54" s="291"/>
      <c r="AS54" s="291"/>
      <c r="AT54" s="291"/>
      <c r="AU54" s="291"/>
      <c r="AV54" s="291"/>
      <c r="AW54" s="291"/>
      <c r="AX54" s="291"/>
      <c r="AY54" s="291"/>
      <c r="AZ54" s="291"/>
      <c r="BA54" s="291"/>
      <c r="BB54" s="291"/>
      <c r="BC54" s="291"/>
      <c r="BD54" s="291"/>
      <c r="BE54" s="291"/>
      <c r="BF54" s="291"/>
      <c r="BG54" s="291"/>
      <c r="BH54" s="291"/>
      <c r="BI54" s="291"/>
    </row>
    <row r="55" spans="2:113" x14ac:dyDescent="0.35">
      <c r="B55" s="349"/>
      <c r="AH55" s="291"/>
      <c r="AI55" s="291"/>
      <c r="AJ55" s="291"/>
      <c r="AK55" s="291"/>
      <c r="AL55" s="291"/>
      <c r="AM55" s="291"/>
      <c r="AN55" s="290"/>
      <c r="AO55" s="291"/>
      <c r="AP55" s="291"/>
      <c r="AQ55" s="291"/>
      <c r="AR55" s="291"/>
      <c r="AS55" s="291"/>
      <c r="AT55" s="291"/>
      <c r="AU55" s="291"/>
      <c r="AV55" s="291"/>
      <c r="AW55" s="291"/>
      <c r="AX55" s="291"/>
      <c r="AY55" s="291"/>
      <c r="AZ55" s="291"/>
      <c r="BA55" s="291"/>
      <c r="BB55" s="291"/>
      <c r="BC55" s="291"/>
      <c r="BD55" s="291"/>
      <c r="BE55" s="291"/>
      <c r="BF55" s="291"/>
      <c r="BG55" s="291"/>
      <c r="BH55" s="291"/>
      <c r="BI55" s="291"/>
    </row>
    <row r="56" spans="2:113" x14ac:dyDescent="0.35">
      <c r="B56" s="349"/>
      <c r="AH56" s="291"/>
      <c r="AI56" s="291"/>
      <c r="AJ56" s="291"/>
      <c r="AK56" s="291"/>
      <c r="AL56" s="291"/>
      <c r="AM56" s="291"/>
      <c r="AN56" s="290"/>
      <c r="AO56" s="291"/>
      <c r="AP56" s="291"/>
      <c r="AQ56" s="291"/>
      <c r="AR56" s="291"/>
      <c r="AS56" s="291"/>
      <c r="AT56" s="291"/>
      <c r="AU56" s="291"/>
      <c r="AV56" s="291"/>
      <c r="AW56" s="291"/>
      <c r="AX56" s="291"/>
      <c r="AY56" s="291"/>
      <c r="AZ56" s="291"/>
      <c r="BA56" s="291"/>
      <c r="BB56" s="291"/>
      <c r="BC56" s="291"/>
      <c r="BD56" s="291"/>
      <c r="BE56" s="291"/>
      <c r="BF56" s="291"/>
      <c r="BG56" s="291"/>
      <c r="BH56" s="291"/>
      <c r="BI56" s="291"/>
    </row>
    <row r="57" spans="2:113" x14ac:dyDescent="0.35">
      <c r="B57" s="349"/>
      <c r="AH57" s="291"/>
      <c r="AI57" s="291"/>
      <c r="AJ57" s="291"/>
      <c r="AK57" s="291"/>
      <c r="AL57" s="291"/>
      <c r="AM57" s="291"/>
      <c r="AN57" s="290"/>
      <c r="AO57" s="291"/>
      <c r="AP57" s="291"/>
      <c r="AQ57" s="291"/>
      <c r="AR57" s="291"/>
      <c r="AS57" s="291"/>
      <c r="AT57" s="291"/>
      <c r="AU57" s="291"/>
      <c r="AV57" s="291"/>
      <c r="AW57" s="291"/>
      <c r="AX57" s="291"/>
      <c r="AY57" s="291"/>
      <c r="AZ57" s="291"/>
      <c r="BA57" s="291"/>
      <c r="BB57" s="291"/>
      <c r="BC57" s="291"/>
      <c r="BD57" s="291"/>
      <c r="BE57" s="291"/>
      <c r="BF57" s="291"/>
      <c r="BG57" s="291"/>
      <c r="BH57" s="291"/>
      <c r="BI57" s="291"/>
    </row>
    <row r="58" spans="2:113" x14ac:dyDescent="0.35">
      <c r="B58" s="349"/>
      <c r="AH58" s="291"/>
      <c r="AI58" s="291"/>
      <c r="AJ58" s="291"/>
      <c r="AK58" s="291"/>
      <c r="AL58" s="291"/>
      <c r="AM58" s="291"/>
      <c r="AN58" s="290"/>
      <c r="AO58" s="291"/>
      <c r="AP58" s="291"/>
      <c r="AQ58" s="291"/>
      <c r="AR58" s="291"/>
      <c r="AS58" s="291"/>
      <c r="AT58" s="291"/>
      <c r="AU58" s="291"/>
      <c r="AV58" s="291"/>
      <c r="AW58" s="291"/>
      <c r="AX58" s="291"/>
      <c r="AY58" s="291"/>
      <c r="AZ58" s="291"/>
      <c r="BA58" s="291"/>
      <c r="BB58" s="291"/>
      <c r="BC58" s="291"/>
      <c r="BD58" s="291"/>
      <c r="BE58" s="291"/>
      <c r="BF58" s="291"/>
      <c r="BG58" s="291"/>
      <c r="BH58" s="291"/>
      <c r="BI58" s="291"/>
    </row>
    <row r="59" spans="2:113" x14ac:dyDescent="0.35">
      <c r="B59" s="349"/>
      <c r="AH59" s="291"/>
      <c r="AI59" s="291"/>
      <c r="AJ59" s="291"/>
      <c r="AK59" s="291"/>
      <c r="AL59" s="291"/>
      <c r="AM59" s="291"/>
      <c r="AN59" s="290"/>
      <c r="AO59" s="291"/>
      <c r="AP59" s="291"/>
      <c r="AQ59" s="291"/>
      <c r="AR59" s="291"/>
      <c r="AS59" s="291"/>
      <c r="AT59" s="291"/>
      <c r="AU59" s="291"/>
      <c r="AV59" s="291"/>
      <c r="AW59" s="291"/>
      <c r="AX59" s="291"/>
      <c r="AY59" s="291"/>
      <c r="AZ59" s="291"/>
      <c r="BA59" s="291"/>
      <c r="BB59" s="291"/>
      <c r="BC59" s="291"/>
      <c r="BD59" s="291"/>
      <c r="BE59" s="291"/>
      <c r="BF59" s="291"/>
      <c r="BG59" s="291"/>
      <c r="BH59" s="291"/>
      <c r="BI59" s="291"/>
    </row>
    <row r="60" spans="2:113" x14ac:dyDescent="0.35">
      <c r="B60" s="349"/>
      <c r="AH60" s="291"/>
      <c r="AI60" s="291"/>
      <c r="AJ60" s="291"/>
      <c r="AK60" s="291"/>
      <c r="AL60" s="291"/>
      <c r="AM60" s="291"/>
      <c r="AN60" s="290"/>
      <c r="AO60" s="291"/>
      <c r="AP60" s="291"/>
      <c r="AQ60" s="291"/>
      <c r="AR60" s="291"/>
      <c r="AS60" s="291"/>
      <c r="AT60" s="291"/>
      <c r="AU60" s="291"/>
      <c r="AV60" s="291"/>
      <c r="AW60" s="291"/>
      <c r="AX60" s="291"/>
      <c r="AY60" s="291"/>
      <c r="AZ60" s="291"/>
      <c r="BA60" s="291"/>
      <c r="BB60" s="291"/>
      <c r="BC60" s="291"/>
      <c r="BD60" s="291"/>
      <c r="BE60" s="291"/>
      <c r="BF60" s="291"/>
      <c r="BG60" s="291"/>
      <c r="BH60" s="291"/>
      <c r="BI60" s="291"/>
    </row>
    <row r="61" spans="2:113" x14ac:dyDescent="0.35">
      <c r="B61" s="349"/>
      <c r="AH61" s="291"/>
      <c r="AI61" s="291"/>
      <c r="AJ61" s="291"/>
      <c r="AK61" s="291"/>
      <c r="AL61" s="291"/>
      <c r="AM61" s="291"/>
      <c r="AN61" s="290"/>
      <c r="AO61" s="291"/>
      <c r="AP61" s="291"/>
      <c r="AQ61" s="291"/>
      <c r="AR61" s="291"/>
      <c r="AS61" s="291"/>
      <c r="AT61" s="291"/>
      <c r="AU61" s="291"/>
      <c r="AV61" s="291"/>
      <c r="AW61" s="291"/>
      <c r="AX61" s="291"/>
      <c r="AY61" s="291"/>
      <c r="AZ61" s="291"/>
      <c r="BA61" s="291"/>
      <c r="BB61" s="291"/>
      <c r="BC61" s="291"/>
      <c r="BD61" s="291"/>
      <c r="BE61" s="291"/>
      <c r="BF61" s="291"/>
      <c r="BG61" s="291"/>
      <c r="BH61" s="291"/>
      <c r="BI61" s="291"/>
    </row>
    <row r="62" spans="2:113" x14ac:dyDescent="0.35">
      <c r="B62" s="349"/>
      <c r="AH62" s="291"/>
      <c r="AI62" s="291"/>
      <c r="AJ62" s="291"/>
      <c r="AK62" s="291"/>
      <c r="AL62" s="291"/>
      <c r="AM62" s="291"/>
      <c r="AN62" s="290"/>
      <c r="AO62" s="291"/>
      <c r="AP62" s="291"/>
      <c r="AQ62" s="291"/>
      <c r="AR62" s="291"/>
      <c r="AS62" s="291"/>
      <c r="AT62" s="291"/>
      <c r="AU62" s="291"/>
      <c r="AV62" s="291"/>
      <c r="AW62" s="291"/>
      <c r="AX62" s="291"/>
      <c r="AY62" s="291"/>
      <c r="AZ62" s="291"/>
      <c r="BA62" s="291"/>
      <c r="BB62" s="291"/>
      <c r="BC62" s="291"/>
      <c r="BD62" s="291"/>
      <c r="BE62" s="291"/>
      <c r="BF62" s="291"/>
      <c r="BG62" s="291"/>
      <c r="BH62" s="291"/>
      <c r="BI62" s="291"/>
    </row>
    <row r="63" spans="2:113" x14ac:dyDescent="0.35">
      <c r="B63" s="349"/>
      <c r="AH63" s="291"/>
      <c r="AI63" s="291"/>
      <c r="AJ63" s="291"/>
      <c r="AK63" s="291"/>
      <c r="AL63" s="291"/>
      <c r="AM63" s="291"/>
      <c r="AN63" s="290"/>
      <c r="AO63" s="291"/>
      <c r="AP63" s="291"/>
      <c r="AQ63" s="291"/>
      <c r="AR63" s="291"/>
      <c r="AS63" s="291"/>
      <c r="AT63" s="291"/>
      <c r="AU63" s="291"/>
      <c r="AV63" s="291"/>
      <c r="AW63" s="291"/>
      <c r="AX63" s="291"/>
      <c r="AY63" s="291"/>
      <c r="AZ63" s="291"/>
      <c r="BA63" s="291"/>
      <c r="BB63" s="291"/>
      <c r="BC63" s="291"/>
      <c r="BD63" s="291"/>
      <c r="BE63" s="291"/>
      <c r="BF63" s="291"/>
      <c r="BG63" s="291"/>
      <c r="BH63" s="291"/>
      <c r="BI63" s="291"/>
    </row>
    <row r="64" spans="2:113" x14ac:dyDescent="0.35">
      <c r="B64" s="349"/>
      <c r="AH64" s="291"/>
      <c r="AI64" s="291"/>
      <c r="AJ64" s="291"/>
      <c r="AK64" s="291"/>
      <c r="AL64" s="291"/>
      <c r="AM64" s="291"/>
      <c r="AN64" s="290"/>
      <c r="AO64" s="291"/>
      <c r="AP64" s="291"/>
      <c r="AQ64" s="291"/>
      <c r="AR64" s="291"/>
      <c r="AS64" s="291"/>
      <c r="AT64" s="291"/>
      <c r="AU64" s="291"/>
      <c r="AV64" s="291"/>
      <c r="AW64" s="291"/>
      <c r="AX64" s="291"/>
      <c r="AY64" s="291"/>
      <c r="AZ64" s="291"/>
      <c r="BA64" s="291"/>
      <c r="BB64" s="291"/>
      <c r="BC64" s="291"/>
      <c r="BD64" s="291"/>
      <c r="BE64" s="291"/>
      <c r="BF64" s="291"/>
      <c r="BG64" s="291"/>
      <c r="BH64" s="291"/>
      <c r="BI64" s="291"/>
    </row>
    <row r="65" spans="2:61" x14ac:dyDescent="0.35">
      <c r="B65" s="349"/>
      <c r="AH65" s="291"/>
      <c r="AI65" s="291"/>
      <c r="AJ65" s="291"/>
      <c r="AK65" s="291"/>
      <c r="AL65" s="291"/>
      <c r="AM65" s="291"/>
      <c r="AN65" s="290"/>
      <c r="AO65" s="291"/>
      <c r="AP65" s="291"/>
      <c r="AQ65" s="291"/>
      <c r="AR65" s="291"/>
      <c r="AS65" s="291"/>
      <c r="AT65" s="291"/>
      <c r="AU65" s="291"/>
      <c r="AV65" s="291"/>
      <c r="AW65" s="291"/>
      <c r="AX65" s="291"/>
      <c r="AY65" s="291"/>
      <c r="AZ65" s="291"/>
      <c r="BA65" s="291"/>
      <c r="BB65" s="291"/>
      <c r="BC65" s="291"/>
      <c r="BD65" s="291"/>
      <c r="BE65" s="291"/>
      <c r="BF65" s="291"/>
      <c r="BG65" s="291"/>
      <c r="BH65" s="291"/>
      <c r="BI65" s="291"/>
    </row>
    <row r="66" spans="2:61" x14ac:dyDescent="0.35">
      <c r="B66" s="349"/>
      <c r="AH66" s="291"/>
      <c r="AI66" s="291"/>
      <c r="AJ66" s="291"/>
      <c r="AK66" s="291"/>
      <c r="AL66" s="291"/>
      <c r="AM66" s="291"/>
      <c r="AN66" s="290"/>
      <c r="AO66" s="291"/>
      <c r="AP66" s="291"/>
      <c r="AQ66" s="291"/>
      <c r="AR66" s="291"/>
      <c r="AS66" s="291"/>
      <c r="AT66" s="291"/>
      <c r="AU66" s="291"/>
      <c r="AV66" s="291"/>
      <c r="AW66" s="291"/>
      <c r="AX66" s="291"/>
      <c r="AY66" s="291"/>
      <c r="AZ66" s="291"/>
      <c r="BA66" s="291"/>
      <c r="BB66" s="291"/>
      <c r="BC66" s="291"/>
      <c r="BD66" s="291"/>
      <c r="BE66" s="291"/>
      <c r="BF66" s="291"/>
      <c r="BG66" s="291"/>
      <c r="BH66" s="291"/>
      <c r="BI66" s="291"/>
    </row>
    <row r="67" spans="2:61" x14ac:dyDescent="0.35">
      <c r="B67" s="349"/>
      <c r="AH67" s="291"/>
      <c r="AI67" s="291"/>
      <c r="AJ67" s="291"/>
      <c r="AK67" s="291"/>
      <c r="AL67" s="291"/>
      <c r="AM67" s="291"/>
      <c r="AN67" s="290"/>
      <c r="AO67" s="291"/>
      <c r="AP67" s="291"/>
      <c r="AQ67" s="291"/>
      <c r="AR67" s="291"/>
      <c r="AS67" s="291"/>
      <c r="AT67" s="291"/>
      <c r="AU67" s="291"/>
      <c r="AV67" s="291"/>
      <c r="AW67" s="291"/>
      <c r="AX67" s="291"/>
      <c r="AY67" s="291"/>
      <c r="AZ67" s="291"/>
      <c r="BA67" s="291"/>
      <c r="BB67" s="291"/>
      <c r="BC67" s="291"/>
      <c r="BD67" s="291"/>
      <c r="BE67" s="291"/>
      <c r="BF67" s="291"/>
      <c r="BG67" s="291"/>
      <c r="BH67" s="291"/>
      <c r="BI67" s="291"/>
    </row>
    <row r="68" spans="2:61" x14ac:dyDescent="0.35">
      <c r="B68" s="349"/>
      <c r="AH68" s="291"/>
      <c r="AI68" s="291"/>
      <c r="AJ68" s="291"/>
      <c r="AK68" s="291"/>
      <c r="AL68" s="291"/>
      <c r="AM68" s="291"/>
      <c r="AN68" s="290"/>
      <c r="AO68" s="291"/>
      <c r="AP68" s="291"/>
      <c r="AQ68" s="291"/>
      <c r="AR68" s="291"/>
      <c r="AS68" s="291"/>
      <c r="AT68" s="291"/>
      <c r="AU68" s="291"/>
      <c r="AV68" s="291"/>
      <c r="AW68" s="291"/>
      <c r="AX68" s="291"/>
      <c r="AY68" s="291"/>
      <c r="AZ68" s="291"/>
      <c r="BA68" s="291"/>
      <c r="BB68" s="291"/>
      <c r="BC68" s="291"/>
      <c r="BD68" s="291"/>
      <c r="BE68" s="291"/>
      <c r="BF68" s="291"/>
      <c r="BG68" s="291"/>
      <c r="BH68" s="291"/>
      <c r="BI68" s="291"/>
    </row>
    <row r="69" spans="2:61" x14ac:dyDescent="0.35">
      <c r="B69" s="349"/>
      <c r="AH69" s="291"/>
      <c r="AI69" s="291"/>
      <c r="AJ69" s="291"/>
      <c r="AK69" s="291"/>
      <c r="AL69" s="291"/>
      <c r="AM69" s="291"/>
      <c r="AN69" s="290"/>
      <c r="AO69" s="291"/>
      <c r="AP69" s="291"/>
      <c r="AQ69" s="291"/>
      <c r="AR69" s="291"/>
      <c r="AS69" s="291"/>
      <c r="AT69" s="291"/>
      <c r="AU69" s="291"/>
      <c r="AV69" s="291"/>
      <c r="AW69" s="291"/>
      <c r="AX69" s="291"/>
      <c r="AY69" s="291"/>
      <c r="AZ69" s="291"/>
      <c r="BA69" s="291"/>
      <c r="BB69" s="291"/>
      <c r="BC69" s="291"/>
      <c r="BD69" s="291"/>
      <c r="BE69" s="291"/>
      <c r="BF69" s="291"/>
      <c r="BG69" s="291"/>
      <c r="BH69" s="291"/>
      <c r="BI69" s="291"/>
    </row>
    <row r="70" spans="2:61" x14ac:dyDescent="0.35">
      <c r="B70" s="349"/>
      <c r="AH70" s="291"/>
      <c r="AI70" s="291"/>
      <c r="AJ70" s="291"/>
      <c r="AK70" s="291"/>
      <c r="AL70" s="291"/>
      <c r="AM70" s="291"/>
      <c r="AN70" s="290"/>
      <c r="AO70" s="291"/>
      <c r="AP70" s="291"/>
      <c r="AQ70" s="291"/>
      <c r="AR70" s="291"/>
      <c r="AS70" s="291"/>
      <c r="AT70" s="291"/>
      <c r="AU70" s="291"/>
      <c r="AV70" s="291"/>
      <c r="AW70" s="291"/>
      <c r="AX70" s="291"/>
      <c r="AY70" s="291"/>
      <c r="AZ70" s="291"/>
      <c r="BA70" s="291"/>
      <c r="BB70" s="291"/>
      <c r="BC70" s="291"/>
      <c r="BD70" s="291"/>
      <c r="BE70" s="291"/>
      <c r="BF70" s="291"/>
      <c r="BG70" s="291"/>
      <c r="BH70" s="291"/>
      <c r="BI70" s="291"/>
    </row>
    <row r="71" spans="2:61" x14ac:dyDescent="0.35">
      <c r="B71" s="349"/>
      <c r="AH71" s="291"/>
      <c r="AI71" s="291"/>
      <c r="AJ71" s="291"/>
      <c r="AK71" s="291"/>
      <c r="AL71" s="291"/>
      <c r="AM71" s="291"/>
      <c r="AN71" s="290"/>
      <c r="AO71" s="291"/>
      <c r="AP71" s="291"/>
      <c r="AQ71" s="291"/>
      <c r="AR71" s="291"/>
      <c r="AS71" s="291"/>
      <c r="AT71" s="291"/>
      <c r="AU71" s="291"/>
      <c r="AV71" s="291"/>
      <c r="AW71" s="291"/>
      <c r="AX71" s="291"/>
      <c r="AY71" s="291"/>
      <c r="AZ71" s="291"/>
      <c r="BA71" s="291"/>
      <c r="BB71" s="291"/>
      <c r="BC71" s="291"/>
      <c r="BD71" s="291"/>
      <c r="BE71" s="291"/>
      <c r="BF71" s="291"/>
      <c r="BG71" s="291"/>
      <c r="BH71" s="291"/>
      <c r="BI71" s="291"/>
    </row>
    <row r="72" spans="2:61" x14ac:dyDescent="0.35">
      <c r="B72" s="349"/>
      <c r="AH72" s="291"/>
      <c r="AI72" s="291"/>
      <c r="AJ72" s="291"/>
      <c r="AK72" s="291"/>
      <c r="AL72" s="291"/>
      <c r="AM72" s="291"/>
      <c r="AN72" s="290"/>
      <c r="AO72" s="291"/>
      <c r="AP72" s="291"/>
      <c r="AQ72" s="291"/>
      <c r="AR72" s="291"/>
      <c r="AS72" s="291"/>
      <c r="AT72" s="291"/>
      <c r="AU72" s="291"/>
      <c r="AV72" s="291"/>
      <c r="AW72" s="291"/>
      <c r="AX72" s="291"/>
      <c r="AY72" s="291"/>
      <c r="AZ72" s="291"/>
      <c r="BA72" s="291"/>
      <c r="BB72" s="291"/>
      <c r="BC72" s="291"/>
      <c r="BD72" s="291"/>
      <c r="BE72" s="291"/>
      <c r="BF72" s="291"/>
      <c r="BG72" s="291"/>
      <c r="BH72" s="291"/>
      <c r="BI72" s="291"/>
    </row>
    <row r="73" spans="2:61" x14ac:dyDescent="0.35">
      <c r="B73" s="349"/>
      <c r="AH73" s="291"/>
      <c r="AI73" s="291"/>
      <c r="AJ73" s="291"/>
      <c r="AK73" s="291"/>
      <c r="AL73" s="291"/>
      <c r="AM73" s="291"/>
      <c r="AN73" s="290"/>
      <c r="AO73" s="291"/>
      <c r="AP73" s="291"/>
      <c r="AQ73" s="291"/>
      <c r="AR73" s="291"/>
      <c r="AS73" s="291"/>
      <c r="AT73" s="291"/>
      <c r="AU73" s="291"/>
      <c r="AV73" s="291"/>
      <c r="AW73" s="291"/>
      <c r="AX73" s="291"/>
      <c r="AY73" s="291"/>
      <c r="AZ73" s="291"/>
      <c r="BA73" s="291"/>
      <c r="BB73" s="291"/>
      <c r="BC73" s="291"/>
      <c r="BD73" s="291"/>
      <c r="BE73" s="291"/>
      <c r="BF73" s="291"/>
      <c r="BG73" s="291"/>
      <c r="BH73" s="291"/>
      <c r="BI73" s="291"/>
    </row>
    <row r="74" spans="2:61" x14ac:dyDescent="0.35">
      <c r="B74" s="349"/>
      <c r="AH74" s="291"/>
      <c r="AI74" s="291"/>
      <c r="AJ74" s="291"/>
      <c r="AK74" s="291"/>
      <c r="AL74" s="291"/>
      <c r="AM74" s="291"/>
      <c r="AN74" s="290"/>
      <c r="AO74" s="291"/>
      <c r="AP74" s="291"/>
      <c r="AQ74" s="291"/>
      <c r="AR74" s="291"/>
      <c r="AS74" s="291"/>
      <c r="AT74" s="291"/>
      <c r="AU74" s="291"/>
      <c r="AV74" s="291"/>
      <c r="AW74" s="291"/>
      <c r="AX74" s="291"/>
      <c r="AY74" s="291"/>
      <c r="AZ74" s="291"/>
      <c r="BA74" s="291"/>
      <c r="BB74" s="291"/>
      <c r="BC74" s="291"/>
      <c r="BD74" s="291"/>
      <c r="BE74" s="291"/>
      <c r="BF74" s="291"/>
      <c r="BG74" s="291"/>
      <c r="BH74" s="291"/>
      <c r="BI74" s="291"/>
    </row>
    <row r="75" spans="2:61" x14ac:dyDescent="0.35">
      <c r="B75" s="349"/>
      <c r="AH75" s="291"/>
      <c r="AI75" s="291"/>
      <c r="AJ75" s="291"/>
      <c r="AK75" s="291"/>
      <c r="AL75" s="291"/>
      <c r="AM75" s="291"/>
      <c r="AN75" s="290"/>
      <c r="AO75" s="291"/>
      <c r="AP75" s="291"/>
      <c r="AQ75" s="291"/>
      <c r="AR75" s="291"/>
      <c r="AS75" s="291"/>
      <c r="AT75" s="291"/>
      <c r="AU75" s="291"/>
      <c r="AV75" s="291"/>
      <c r="AW75" s="291"/>
      <c r="AX75" s="291"/>
      <c r="AY75" s="291"/>
      <c r="AZ75" s="291"/>
      <c r="BA75" s="291"/>
      <c r="BB75" s="291"/>
      <c r="BC75" s="291"/>
      <c r="BD75" s="291"/>
      <c r="BE75" s="291"/>
      <c r="BF75" s="291"/>
      <c r="BG75" s="291"/>
      <c r="BH75" s="291"/>
      <c r="BI75" s="291"/>
    </row>
    <row r="76" spans="2:61" x14ac:dyDescent="0.35">
      <c r="B76" s="349"/>
      <c r="AH76" s="291"/>
      <c r="AI76" s="291"/>
      <c r="AJ76" s="291"/>
      <c r="AK76" s="291"/>
      <c r="AL76" s="291"/>
      <c r="AM76" s="291"/>
      <c r="AN76" s="290"/>
      <c r="AO76" s="291"/>
      <c r="AP76" s="291"/>
      <c r="AQ76" s="291"/>
      <c r="AR76" s="291"/>
      <c r="AS76" s="291"/>
      <c r="AT76" s="291"/>
      <c r="AU76" s="291"/>
      <c r="AV76" s="291"/>
      <c r="AW76" s="291"/>
      <c r="AX76" s="291"/>
      <c r="AY76" s="291"/>
      <c r="AZ76" s="291"/>
      <c r="BA76" s="291"/>
      <c r="BB76" s="291"/>
      <c r="BC76" s="291"/>
      <c r="BD76" s="291"/>
      <c r="BE76" s="291"/>
      <c r="BF76" s="291"/>
      <c r="BG76" s="291"/>
      <c r="BH76" s="291"/>
      <c r="BI76" s="291"/>
    </row>
    <row r="77" spans="2:61" x14ac:dyDescent="0.35">
      <c r="B77" s="349"/>
      <c r="AH77" s="291"/>
      <c r="AI77" s="291"/>
      <c r="AJ77" s="291"/>
      <c r="AK77" s="291"/>
      <c r="AL77" s="291"/>
      <c r="AM77" s="291"/>
      <c r="AN77" s="290"/>
      <c r="AO77" s="291"/>
      <c r="AP77" s="291"/>
      <c r="AQ77" s="291"/>
      <c r="AR77" s="291"/>
      <c r="AS77" s="291"/>
      <c r="AT77" s="291"/>
      <c r="AU77" s="291"/>
      <c r="AV77" s="291"/>
      <c r="AW77" s="291"/>
      <c r="AX77" s="291"/>
      <c r="AY77" s="291"/>
      <c r="AZ77" s="291"/>
      <c r="BA77" s="291"/>
      <c r="BB77" s="291"/>
      <c r="BC77" s="291"/>
      <c r="BD77" s="291"/>
      <c r="BE77" s="291"/>
      <c r="BF77" s="291"/>
      <c r="BG77" s="291"/>
      <c r="BH77" s="291"/>
      <c r="BI77" s="291"/>
    </row>
    <row r="78" spans="2:61" x14ac:dyDescent="0.35">
      <c r="B78" s="349"/>
      <c r="AH78" s="291"/>
      <c r="AI78" s="291"/>
      <c r="AJ78" s="291"/>
      <c r="AK78" s="291"/>
      <c r="AL78" s="291"/>
      <c r="AM78" s="291"/>
      <c r="AN78" s="290"/>
      <c r="AO78" s="291"/>
      <c r="AP78" s="291"/>
      <c r="AQ78" s="291"/>
      <c r="AR78" s="291"/>
      <c r="AS78" s="291"/>
      <c r="AT78" s="291"/>
      <c r="AU78" s="291"/>
      <c r="AV78" s="291"/>
      <c r="AW78" s="291"/>
      <c r="AX78" s="291"/>
      <c r="AY78" s="291"/>
      <c r="AZ78" s="291"/>
      <c r="BA78" s="291"/>
      <c r="BB78" s="291"/>
      <c r="BC78" s="291"/>
      <c r="BD78" s="291"/>
      <c r="BE78" s="291"/>
      <c r="BF78" s="291"/>
      <c r="BG78" s="291"/>
      <c r="BH78" s="291"/>
      <c r="BI78" s="291"/>
    </row>
    <row r="79" spans="2:61" x14ac:dyDescent="0.35">
      <c r="B79" s="349"/>
      <c r="AH79" s="291"/>
      <c r="AI79" s="291"/>
      <c r="AJ79" s="291"/>
      <c r="AK79" s="291"/>
      <c r="AL79" s="291"/>
      <c r="AM79" s="291"/>
      <c r="AN79" s="290"/>
      <c r="AO79" s="291"/>
      <c r="AP79" s="291"/>
      <c r="AQ79" s="291"/>
      <c r="AR79" s="291"/>
      <c r="AS79" s="291"/>
      <c r="AT79" s="291"/>
      <c r="AU79" s="291"/>
      <c r="AV79" s="291"/>
      <c r="AW79" s="291"/>
      <c r="AX79" s="291"/>
      <c r="AY79" s="291"/>
      <c r="AZ79" s="291"/>
      <c r="BA79" s="291"/>
      <c r="BB79" s="291"/>
      <c r="BC79" s="291"/>
      <c r="BD79" s="291"/>
      <c r="BE79" s="291"/>
      <c r="BF79" s="291"/>
      <c r="BG79" s="291"/>
      <c r="BH79" s="291"/>
      <c r="BI79" s="291"/>
    </row>
    <row r="80" spans="2:61" x14ac:dyDescent="0.35">
      <c r="B80" s="349"/>
      <c r="AH80" s="291"/>
      <c r="AI80" s="291"/>
      <c r="AJ80" s="291"/>
      <c r="AK80" s="291"/>
      <c r="AL80" s="291"/>
      <c r="AM80" s="291"/>
      <c r="AN80" s="290"/>
      <c r="AO80" s="291"/>
      <c r="AP80" s="291"/>
      <c r="AQ80" s="291"/>
      <c r="AR80" s="291"/>
      <c r="AS80" s="291"/>
      <c r="AT80" s="291"/>
      <c r="AU80" s="291"/>
      <c r="AV80" s="291"/>
      <c r="AW80" s="291"/>
      <c r="AX80" s="291"/>
      <c r="AY80" s="291"/>
      <c r="AZ80" s="291"/>
      <c r="BA80" s="291"/>
      <c r="BB80" s="291"/>
      <c r="BC80" s="291"/>
      <c r="BD80" s="291"/>
      <c r="BE80" s="291"/>
      <c r="BF80" s="291"/>
      <c r="BG80" s="291"/>
      <c r="BH80" s="291"/>
      <c r="BI80" s="291"/>
    </row>
    <row r="81" spans="2:61" x14ac:dyDescent="0.35">
      <c r="B81" s="349"/>
      <c r="AH81" s="291"/>
      <c r="AI81" s="291"/>
      <c r="AJ81" s="291"/>
      <c r="AK81" s="291"/>
      <c r="AL81" s="291"/>
      <c r="AM81" s="291"/>
      <c r="AN81" s="290"/>
      <c r="AO81" s="291"/>
      <c r="AP81" s="291"/>
      <c r="AQ81" s="291"/>
      <c r="AR81" s="291"/>
      <c r="AS81" s="291"/>
      <c r="AT81" s="291"/>
      <c r="AU81" s="291"/>
      <c r="AV81" s="291"/>
      <c r="AW81" s="291"/>
      <c r="AX81" s="291"/>
      <c r="AY81" s="291"/>
      <c r="AZ81" s="291"/>
      <c r="BA81" s="291"/>
      <c r="BB81" s="291"/>
      <c r="BC81" s="291"/>
      <c r="BD81" s="291"/>
      <c r="BE81" s="291"/>
      <c r="BF81" s="291"/>
      <c r="BG81" s="291"/>
      <c r="BH81" s="291"/>
      <c r="BI81" s="291"/>
    </row>
    <row r="82" spans="2:61" x14ac:dyDescent="0.35">
      <c r="B82" s="349"/>
      <c r="AH82" s="291"/>
      <c r="AI82" s="291"/>
      <c r="AJ82" s="291"/>
      <c r="AK82" s="291"/>
      <c r="AL82" s="291"/>
      <c r="AM82" s="291"/>
      <c r="AN82" s="290"/>
      <c r="AO82" s="291"/>
      <c r="AP82" s="291"/>
      <c r="AQ82" s="291"/>
      <c r="AR82" s="291"/>
      <c r="AS82" s="291"/>
      <c r="AT82" s="291"/>
      <c r="AU82" s="291"/>
      <c r="AV82" s="291"/>
      <c r="AW82" s="291"/>
      <c r="AX82" s="291"/>
      <c r="AY82" s="291"/>
      <c r="AZ82" s="291"/>
      <c r="BA82" s="291"/>
      <c r="BB82" s="291"/>
      <c r="BC82" s="291"/>
      <c r="BD82" s="291"/>
      <c r="BE82" s="291"/>
      <c r="BF82" s="291"/>
      <c r="BG82" s="291"/>
      <c r="BH82" s="291"/>
      <c r="BI82" s="291"/>
    </row>
    <row r="83" spans="2:61" x14ac:dyDescent="0.35">
      <c r="B83" s="349"/>
      <c r="AH83" s="291"/>
      <c r="AI83" s="291"/>
      <c r="AJ83" s="291"/>
      <c r="AK83" s="291"/>
      <c r="AL83" s="291"/>
      <c r="AM83" s="291"/>
      <c r="AN83" s="290"/>
      <c r="AO83" s="291"/>
      <c r="AP83" s="291"/>
      <c r="AQ83" s="291"/>
      <c r="AR83" s="291"/>
      <c r="AS83" s="291"/>
      <c r="AT83" s="291"/>
      <c r="AU83" s="291"/>
      <c r="AV83" s="291"/>
      <c r="AW83" s="291"/>
      <c r="AX83" s="291"/>
      <c r="AY83" s="291"/>
      <c r="AZ83" s="291"/>
      <c r="BA83" s="291"/>
      <c r="BB83" s="291"/>
      <c r="BC83" s="291"/>
      <c r="BD83" s="291"/>
      <c r="BE83" s="291"/>
      <c r="BF83" s="291"/>
      <c r="BG83" s="291"/>
      <c r="BH83" s="291"/>
      <c r="BI83" s="291"/>
    </row>
    <row r="84" spans="2:61" x14ac:dyDescent="0.35">
      <c r="B84" s="349"/>
      <c r="AH84" s="291"/>
      <c r="AI84" s="291"/>
      <c r="AJ84" s="291"/>
      <c r="AK84" s="291"/>
      <c r="AL84" s="291"/>
      <c r="AM84" s="291"/>
      <c r="AN84" s="290"/>
      <c r="AO84" s="291"/>
      <c r="AP84" s="291"/>
      <c r="AQ84" s="291"/>
      <c r="AR84" s="291"/>
      <c r="AS84" s="291"/>
      <c r="AT84" s="291"/>
      <c r="AU84" s="291"/>
      <c r="AV84" s="291"/>
      <c r="AW84" s="291"/>
      <c r="AX84" s="291"/>
      <c r="AY84" s="291"/>
      <c r="AZ84" s="291"/>
      <c r="BA84" s="291"/>
      <c r="BB84" s="291"/>
      <c r="BC84" s="291"/>
      <c r="BD84" s="291"/>
      <c r="BE84" s="291"/>
      <c r="BF84" s="291"/>
      <c r="BG84" s="291"/>
      <c r="BH84" s="291"/>
      <c r="BI84" s="291"/>
    </row>
    <row r="85" spans="2:61" x14ac:dyDescent="0.35">
      <c r="B85" s="349"/>
      <c r="AH85" s="291"/>
      <c r="AI85" s="291"/>
      <c r="AJ85" s="291"/>
      <c r="AK85" s="291"/>
      <c r="AL85" s="291"/>
      <c r="AM85" s="291"/>
      <c r="AN85" s="290"/>
      <c r="AO85" s="291"/>
      <c r="AP85" s="291"/>
      <c r="AQ85" s="291"/>
      <c r="AR85" s="291"/>
      <c r="AS85" s="291"/>
      <c r="AT85" s="291"/>
      <c r="AU85" s="291"/>
      <c r="AV85" s="291"/>
      <c r="AW85" s="291"/>
      <c r="AX85" s="291"/>
      <c r="AY85" s="291"/>
      <c r="AZ85" s="291"/>
      <c r="BA85" s="291"/>
      <c r="BB85" s="291"/>
      <c r="BC85" s="291"/>
      <c r="BD85" s="291"/>
      <c r="BE85" s="291"/>
      <c r="BF85" s="291"/>
      <c r="BG85" s="291"/>
      <c r="BH85" s="291"/>
      <c r="BI85" s="291"/>
    </row>
    <row r="86" spans="2:61" x14ac:dyDescent="0.35">
      <c r="B86" s="349"/>
      <c r="AH86" s="291"/>
      <c r="AI86" s="291"/>
      <c r="AJ86" s="291"/>
      <c r="AK86" s="291"/>
      <c r="AL86" s="291"/>
      <c r="AM86" s="291"/>
      <c r="AN86" s="290"/>
      <c r="AO86" s="291"/>
      <c r="AP86" s="291"/>
      <c r="AQ86" s="291"/>
      <c r="AR86" s="291"/>
      <c r="AS86" s="291"/>
      <c r="AT86" s="291"/>
      <c r="AU86" s="291"/>
      <c r="AV86" s="291"/>
      <c r="AW86" s="291"/>
      <c r="AX86" s="291"/>
      <c r="AY86" s="291"/>
      <c r="AZ86" s="291"/>
      <c r="BA86" s="291"/>
      <c r="BB86" s="291"/>
      <c r="BC86" s="291"/>
      <c r="BD86" s="291"/>
      <c r="BE86" s="291"/>
      <c r="BF86" s="291"/>
      <c r="BG86" s="291"/>
      <c r="BH86" s="291"/>
      <c r="BI86" s="291"/>
    </row>
    <row r="87" spans="2:61" x14ac:dyDescent="0.35">
      <c r="B87" s="349"/>
      <c r="AH87" s="291"/>
      <c r="AI87" s="291"/>
      <c r="AJ87" s="291"/>
      <c r="AK87" s="291"/>
      <c r="AL87" s="291"/>
      <c r="AM87" s="291"/>
      <c r="AN87" s="290"/>
      <c r="AO87" s="291"/>
      <c r="AP87" s="291"/>
      <c r="AQ87" s="291"/>
      <c r="AR87" s="291"/>
      <c r="AS87" s="291"/>
      <c r="AT87" s="291"/>
      <c r="AU87" s="291"/>
      <c r="AV87" s="291"/>
      <c r="AW87" s="291"/>
      <c r="AX87" s="291"/>
      <c r="AY87" s="291"/>
      <c r="AZ87" s="291"/>
      <c r="BA87" s="291"/>
      <c r="BB87" s="291"/>
      <c r="BC87" s="291"/>
      <c r="BD87" s="291"/>
      <c r="BE87" s="291"/>
      <c r="BF87" s="291"/>
      <c r="BG87" s="291"/>
      <c r="BH87" s="291"/>
      <c r="BI87" s="291"/>
    </row>
    <row r="88" spans="2:61" x14ac:dyDescent="0.35">
      <c r="B88" s="349"/>
      <c r="AH88" s="291"/>
      <c r="AI88" s="291"/>
      <c r="AJ88" s="291"/>
      <c r="AK88" s="291"/>
      <c r="AL88" s="291"/>
      <c r="AM88" s="291"/>
      <c r="AN88" s="290"/>
      <c r="AO88" s="291"/>
      <c r="AP88" s="291"/>
      <c r="AQ88" s="291"/>
      <c r="AR88" s="291"/>
      <c r="AS88" s="291"/>
      <c r="AT88" s="291"/>
      <c r="AU88" s="291"/>
      <c r="AV88" s="291"/>
      <c r="AW88" s="291"/>
      <c r="AX88" s="291"/>
      <c r="AY88" s="291"/>
      <c r="AZ88" s="291"/>
      <c r="BA88" s="291"/>
      <c r="BB88" s="291"/>
      <c r="BC88" s="291"/>
      <c r="BD88" s="291"/>
      <c r="BE88" s="291"/>
      <c r="BF88" s="291"/>
      <c r="BG88" s="291"/>
      <c r="BH88" s="291"/>
      <c r="BI88" s="291"/>
    </row>
    <row r="89" spans="2:61" x14ac:dyDescent="0.35">
      <c r="B89" s="349"/>
      <c r="AH89" s="291"/>
      <c r="AI89" s="291"/>
      <c r="AJ89" s="291"/>
      <c r="AK89" s="291"/>
      <c r="AL89" s="291"/>
      <c r="AM89" s="291"/>
      <c r="AN89" s="290"/>
      <c r="AO89" s="291"/>
      <c r="AP89" s="291"/>
      <c r="AQ89" s="291"/>
      <c r="AR89" s="291"/>
      <c r="AS89" s="291"/>
      <c r="AT89" s="291"/>
      <c r="AU89" s="291"/>
      <c r="AV89" s="291"/>
      <c r="AW89" s="291"/>
      <c r="AX89" s="291"/>
      <c r="AY89" s="291"/>
      <c r="AZ89" s="291"/>
      <c r="BA89" s="291"/>
      <c r="BB89" s="291"/>
      <c r="BC89" s="291"/>
      <c r="BD89" s="291"/>
      <c r="BE89" s="291"/>
      <c r="BF89" s="291"/>
      <c r="BG89" s="291"/>
      <c r="BH89" s="291"/>
      <c r="BI89" s="291"/>
    </row>
    <row r="90" spans="2:61" x14ac:dyDescent="0.35">
      <c r="B90" s="349"/>
      <c r="AH90" s="291"/>
      <c r="AI90" s="291"/>
      <c r="AJ90" s="291"/>
      <c r="AK90" s="291"/>
      <c r="AL90" s="291"/>
      <c r="AM90" s="291"/>
      <c r="AN90" s="290"/>
      <c r="AO90" s="291"/>
      <c r="AP90" s="291"/>
      <c r="AQ90" s="291"/>
      <c r="AR90" s="291"/>
      <c r="AS90" s="291"/>
      <c r="AT90" s="291"/>
      <c r="AU90" s="291"/>
      <c r="AV90" s="291"/>
      <c r="AW90" s="291"/>
      <c r="AX90" s="291"/>
      <c r="AY90" s="291"/>
      <c r="AZ90" s="291"/>
      <c r="BA90" s="291"/>
      <c r="BB90" s="291"/>
      <c r="BC90" s="291"/>
      <c r="BD90" s="291"/>
      <c r="BE90" s="291"/>
      <c r="BF90" s="291"/>
      <c r="BG90" s="291"/>
      <c r="BH90" s="291"/>
      <c r="BI90" s="291"/>
    </row>
    <row r="91" spans="2:61" x14ac:dyDescent="0.35">
      <c r="B91" s="349"/>
      <c r="AH91" s="291"/>
      <c r="AI91" s="291"/>
      <c r="AJ91" s="291"/>
      <c r="AK91" s="291"/>
      <c r="AL91" s="291"/>
      <c r="AM91" s="291"/>
      <c r="AN91" s="290"/>
      <c r="AO91" s="291"/>
      <c r="AP91" s="291"/>
      <c r="AQ91" s="291"/>
      <c r="AR91" s="291"/>
      <c r="AS91" s="291"/>
      <c r="AT91" s="291"/>
      <c r="AU91" s="291"/>
      <c r="AV91" s="291"/>
      <c r="AW91" s="291"/>
      <c r="AX91" s="291"/>
      <c r="AY91" s="291"/>
      <c r="AZ91" s="291"/>
      <c r="BA91" s="291"/>
      <c r="BB91" s="291"/>
      <c r="BC91" s="291"/>
      <c r="BD91" s="291"/>
      <c r="BE91" s="291"/>
      <c r="BF91" s="291"/>
      <c r="BG91" s="291"/>
      <c r="BH91" s="291"/>
      <c r="BI91" s="291"/>
    </row>
    <row r="92" spans="2:61" x14ac:dyDescent="0.35">
      <c r="B92" s="349"/>
      <c r="AH92" s="291"/>
      <c r="AI92" s="291"/>
      <c r="AJ92" s="291"/>
      <c r="AK92" s="291"/>
      <c r="AL92" s="291"/>
      <c r="AM92" s="291"/>
      <c r="AN92" s="290"/>
      <c r="AO92" s="291"/>
      <c r="AP92" s="291"/>
      <c r="AQ92" s="291"/>
      <c r="AR92" s="291"/>
      <c r="AS92" s="291"/>
      <c r="AT92" s="291"/>
      <c r="AU92" s="291"/>
      <c r="AV92" s="291"/>
      <c r="AW92" s="291"/>
      <c r="AX92" s="291"/>
      <c r="AY92" s="291"/>
      <c r="AZ92" s="291"/>
      <c r="BA92" s="291"/>
      <c r="BB92" s="291"/>
      <c r="BC92" s="291"/>
      <c r="BD92" s="291"/>
      <c r="BE92" s="291"/>
      <c r="BF92" s="291"/>
      <c r="BG92" s="291"/>
      <c r="BH92" s="291"/>
      <c r="BI92" s="291"/>
    </row>
    <row r="93" spans="2:61" x14ac:dyDescent="0.35">
      <c r="B93" s="349"/>
      <c r="AH93" s="291"/>
      <c r="AI93" s="291"/>
      <c r="AJ93" s="291"/>
      <c r="AK93" s="291"/>
      <c r="AL93" s="291"/>
      <c r="AM93" s="291"/>
      <c r="AN93" s="290"/>
      <c r="AO93" s="291"/>
      <c r="AP93" s="291"/>
      <c r="AQ93" s="291"/>
      <c r="AR93" s="291"/>
      <c r="AS93" s="291"/>
      <c r="AT93" s="291"/>
      <c r="AU93" s="291"/>
      <c r="AV93" s="291"/>
      <c r="AW93" s="291"/>
      <c r="AX93" s="291"/>
      <c r="AY93" s="291"/>
      <c r="AZ93" s="291"/>
      <c r="BA93" s="291"/>
      <c r="BB93" s="291"/>
      <c r="BC93" s="291"/>
      <c r="BD93" s="291"/>
      <c r="BE93" s="291"/>
      <c r="BF93" s="291"/>
      <c r="BG93" s="291"/>
      <c r="BH93" s="291"/>
      <c r="BI93" s="291"/>
    </row>
    <row r="94" spans="2:61" x14ac:dyDescent="0.35">
      <c r="B94" s="349"/>
      <c r="AH94" s="291"/>
      <c r="AI94" s="291"/>
      <c r="AJ94" s="291"/>
      <c r="AK94" s="291"/>
      <c r="AL94" s="291"/>
      <c r="AM94" s="291"/>
      <c r="AN94" s="290"/>
      <c r="AO94" s="291"/>
      <c r="AP94" s="291"/>
      <c r="AQ94" s="291"/>
      <c r="AR94" s="291"/>
      <c r="AS94" s="291"/>
      <c r="AT94" s="291"/>
      <c r="AU94" s="291"/>
      <c r="AV94" s="291"/>
      <c r="AW94" s="291"/>
      <c r="AX94" s="291"/>
      <c r="AY94" s="291"/>
      <c r="AZ94" s="291"/>
      <c r="BA94" s="291"/>
      <c r="BB94" s="291"/>
      <c r="BC94" s="291"/>
      <c r="BD94" s="291"/>
      <c r="BE94" s="291"/>
      <c r="BF94" s="291"/>
      <c r="BG94" s="291"/>
      <c r="BH94" s="291"/>
      <c r="BI94" s="291"/>
    </row>
    <row r="95" spans="2:61" x14ac:dyDescent="0.35">
      <c r="B95" s="349"/>
      <c r="AH95" s="291"/>
      <c r="AI95" s="291"/>
      <c r="AJ95" s="291"/>
      <c r="AK95" s="291"/>
      <c r="AL95" s="291"/>
      <c r="AM95" s="291"/>
      <c r="AN95" s="290"/>
      <c r="AO95" s="291"/>
      <c r="AP95" s="291"/>
      <c r="AQ95" s="291"/>
      <c r="AR95" s="291"/>
      <c r="AS95" s="291"/>
      <c r="AT95" s="291"/>
      <c r="AU95" s="291"/>
      <c r="AV95" s="291"/>
      <c r="AW95" s="291"/>
      <c r="AX95" s="291"/>
      <c r="AY95" s="291"/>
      <c r="AZ95" s="291"/>
      <c r="BA95" s="291"/>
      <c r="BB95" s="291"/>
      <c r="BC95" s="291"/>
      <c r="BD95" s="291"/>
      <c r="BE95" s="291"/>
      <c r="BF95" s="291"/>
      <c r="BG95" s="291"/>
      <c r="BH95" s="291"/>
      <c r="BI95" s="291"/>
    </row>
    <row r="96" spans="2:61" x14ac:dyDescent="0.35">
      <c r="B96" s="349"/>
      <c r="AH96" s="291"/>
      <c r="AI96" s="291"/>
      <c r="AJ96" s="291"/>
      <c r="AK96" s="291"/>
      <c r="AL96" s="291"/>
      <c r="AM96" s="291"/>
      <c r="AN96" s="290"/>
      <c r="AO96" s="291"/>
      <c r="AP96" s="291"/>
      <c r="AQ96" s="291"/>
      <c r="AR96" s="291"/>
      <c r="AS96" s="291"/>
      <c r="AT96" s="291"/>
      <c r="AU96" s="291"/>
      <c r="AV96" s="291"/>
      <c r="AW96" s="291"/>
      <c r="AX96" s="291"/>
      <c r="AY96" s="291"/>
      <c r="AZ96" s="291"/>
      <c r="BA96" s="291"/>
      <c r="BB96" s="291"/>
      <c r="BC96" s="291"/>
      <c r="BD96" s="291"/>
      <c r="BE96" s="291"/>
      <c r="BF96" s="291"/>
      <c r="BG96" s="291"/>
      <c r="BH96" s="291"/>
      <c r="BI96" s="291"/>
    </row>
    <row r="97" spans="2:61" x14ac:dyDescent="0.35">
      <c r="B97" s="349"/>
      <c r="AH97" s="291"/>
      <c r="AI97" s="291"/>
      <c r="AJ97" s="291"/>
      <c r="AK97" s="291"/>
      <c r="AL97" s="291"/>
      <c r="AM97" s="291"/>
      <c r="AN97" s="290"/>
      <c r="AO97" s="291"/>
      <c r="AP97" s="291"/>
      <c r="AQ97" s="291"/>
      <c r="AR97" s="291"/>
      <c r="AS97" s="291"/>
      <c r="AT97" s="291"/>
      <c r="AU97" s="291"/>
      <c r="AV97" s="291"/>
      <c r="AW97" s="291"/>
      <c r="AX97" s="291"/>
      <c r="AY97" s="291"/>
      <c r="AZ97" s="291"/>
      <c r="BA97" s="291"/>
      <c r="BB97" s="291"/>
      <c r="BC97" s="291"/>
      <c r="BD97" s="291"/>
      <c r="BE97" s="291"/>
      <c r="BF97" s="291"/>
      <c r="BG97" s="291"/>
      <c r="BH97" s="291"/>
      <c r="BI97" s="291"/>
    </row>
    <row r="98" spans="2:61" x14ac:dyDescent="0.35">
      <c r="B98" s="349"/>
      <c r="AH98" s="291"/>
      <c r="AI98" s="291"/>
      <c r="AJ98" s="291"/>
      <c r="AK98" s="291"/>
      <c r="AL98" s="291"/>
      <c r="AM98" s="291"/>
      <c r="AN98" s="290"/>
      <c r="AO98" s="291"/>
      <c r="AP98" s="291"/>
      <c r="AQ98" s="291"/>
      <c r="AR98" s="291"/>
      <c r="AS98" s="291"/>
      <c r="AT98" s="291"/>
      <c r="AU98" s="291"/>
      <c r="AV98" s="291"/>
      <c r="AW98" s="291"/>
      <c r="AX98" s="291"/>
      <c r="AY98" s="291"/>
      <c r="AZ98" s="291"/>
      <c r="BA98" s="291"/>
      <c r="BB98" s="291"/>
      <c r="BC98" s="291"/>
      <c r="BD98" s="291"/>
      <c r="BE98" s="291"/>
      <c r="BF98" s="291"/>
      <c r="BG98" s="291"/>
      <c r="BH98" s="291"/>
      <c r="BI98" s="291"/>
    </row>
    <row r="99" spans="2:61" x14ac:dyDescent="0.35">
      <c r="B99" s="349"/>
      <c r="AH99" s="291"/>
      <c r="AI99" s="291"/>
      <c r="AJ99" s="291"/>
      <c r="AK99" s="291"/>
      <c r="AL99" s="291"/>
      <c r="AM99" s="291"/>
      <c r="AN99" s="290"/>
      <c r="AO99" s="291"/>
      <c r="AP99" s="291"/>
      <c r="AQ99" s="291"/>
      <c r="AR99" s="291"/>
      <c r="AS99" s="291"/>
      <c r="AT99" s="291"/>
      <c r="AU99" s="291"/>
      <c r="AV99" s="291"/>
      <c r="AW99" s="291"/>
      <c r="AX99" s="291"/>
      <c r="AY99" s="291"/>
      <c r="AZ99" s="291"/>
      <c r="BA99" s="291"/>
      <c r="BB99" s="291"/>
      <c r="BC99" s="291"/>
      <c r="BD99" s="291"/>
      <c r="BE99" s="291"/>
      <c r="BF99" s="291"/>
      <c r="BG99" s="291"/>
      <c r="BH99" s="291"/>
      <c r="BI99" s="291"/>
    </row>
    <row r="100" spans="2:61" x14ac:dyDescent="0.35">
      <c r="B100" s="349"/>
      <c r="AH100" s="291"/>
      <c r="AI100" s="291"/>
      <c r="AJ100" s="291"/>
      <c r="AK100" s="291"/>
      <c r="AL100" s="291"/>
      <c r="AM100" s="291"/>
      <c r="AN100" s="290"/>
      <c r="AO100" s="291"/>
      <c r="AP100" s="291"/>
      <c r="AQ100" s="291"/>
      <c r="AR100" s="291"/>
      <c r="AS100" s="291"/>
      <c r="AT100" s="291"/>
      <c r="AU100" s="291"/>
      <c r="AV100" s="291"/>
      <c r="AW100" s="291"/>
      <c r="AX100" s="291"/>
      <c r="AY100" s="291"/>
      <c r="AZ100" s="291"/>
      <c r="BA100" s="291"/>
      <c r="BB100" s="291"/>
      <c r="BC100" s="291"/>
      <c r="BD100" s="291"/>
      <c r="BE100" s="291"/>
      <c r="BF100" s="291"/>
      <c r="BG100" s="291"/>
      <c r="BH100" s="291"/>
      <c r="BI100" s="291"/>
    </row>
    <row r="101" spans="2:61" x14ac:dyDescent="0.35">
      <c r="B101" s="349"/>
      <c r="AH101" s="291"/>
      <c r="AI101" s="291"/>
      <c r="AJ101" s="291"/>
      <c r="AK101" s="291"/>
      <c r="AL101" s="291"/>
      <c r="AM101" s="291"/>
      <c r="AN101" s="290"/>
      <c r="AO101" s="291"/>
      <c r="AP101" s="291"/>
      <c r="AQ101" s="291"/>
      <c r="AR101" s="291"/>
      <c r="AS101" s="291"/>
      <c r="AT101" s="291"/>
      <c r="AU101" s="291"/>
      <c r="AV101" s="291"/>
      <c r="AW101" s="291"/>
      <c r="AX101" s="291"/>
      <c r="AY101" s="291"/>
      <c r="AZ101" s="291"/>
      <c r="BA101" s="291"/>
      <c r="BB101" s="291"/>
      <c r="BC101" s="291"/>
      <c r="BD101" s="291"/>
      <c r="BE101" s="291"/>
      <c r="BF101" s="291"/>
      <c r="BG101" s="291"/>
      <c r="BH101" s="291"/>
      <c r="BI101" s="291"/>
    </row>
    <row r="102" spans="2:61" x14ac:dyDescent="0.35">
      <c r="B102" s="349"/>
      <c r="AH102" s="291"/>
      <c r="AI102" s="291"/>
      <c r="AJ102" s="291"/>
      <c r="AK102" s="291"/>
      <c r="AL102" s="291"/>
      <c r="AM102" s="291"/>
      <c r="AN102" s="290"/>
      <c r="AO102" s="291"/>
      <c r="AP102" s="291"/>
      <c r="AQ102" s="291"/>
      <c r="AR102" s="291"/>
      <c r="AS102" s="291"/>
      <c r="AT102" s="291"/>
      <c r="AU102" s="291"/>
      <c r="AV102" s="291"/>
      <c r="AW102" s="291"/>
      <c r="AX102" s="291"/>
      <c r="AY102" s="291"/>
      <c r="AZ102" s="291"/>
      <c r="BA102" s="291"/>
      <c r="BB102" s="291"/>
      <c r="BC102" s="291"/>
      <c r="BD102" s="291"/>
      <c r="BE102" s="291"/>
      <c r="BF102" s="291"/>
      <c r="BG102" s="291"/>
      <c r="BH102" s="291"/>
      <c r="BI102" s="291"/>
    </row>
    <row r="103" spans="2:61" x14ac:dyDescent="0.35">
      <c r="B103" s="349"/>
      <c r="AH103" s="291"/>
      <c r="AI103" s="291"/>
      <c r="AJ103" s="291"/>
      <c r="AK103" s="291"/>
      <c r="AL103" s="291"/>
      <c r="AM103" s="291"/>
      <c r="AN103" s="290"/>
      <c r="AO103" s="291"/>
      <c r="AP103" s="291"/>
      <c r="AQ103" s="291"/>
      <c r="AR103" s="291"/>
      <c r="AS103" s="291"/>
      <c r="AT103" s="291"/>
      <c r="AU103" s="291"/>
      <c r="AV103" s="291"/>
      <c r="AW103" s="291"/>
      <c r="AX103" s="291"/>
      <c r="AY103" s="291"/>
      <c r="AZ103" s="291"/>
      <c r="BA103" s="291"/>
      <c r="BB103" s="291"/>
      <c r="BC103" s="291"/>
      <c r="BD103" s="291"/>
      <c r="BE103" s="291"/>
      <c r="BF103" s="291"/>
      <c r="BG103" s="291"/>
      <c r="BH103" s="291"/>
      <c r="BI103" s="291"/>
    </row>
    <row r="104" spans="2:61" x14ac:dyDescent="0.35">
      <c r="B104" s="349"/>
      <c r="AH104" s="291"/>
      <c r="AI104" s="291"/>
      <c r="AJ104" s="291"/>
      <c r="AK104" s="291"/>
      <c r="AL104" s="291"/>
      <c r="AM104" s="291"/>
      <c r="AN104" s="290"/>
      <c r="AO104" s="291"/>
      <c r="AP104" s="291"/>
      <c r="AQ104" s="291"/>
      <c r="AR104" s="291"/>
      <c r="AS104" s="291"/>
      <c r="AT104" s="291"/>
      <c r="AU104" s="291"/>
      <c r="AV104" s="291"/>
      <c r="AW104" s="291"/>
      <c r="AX104" s="291"/>
      <c r="AY104" s="291"/>
      <c r="AZ104" s="291"/>
      <c r="BA104" s="291"/>
      <c r="BB104" s="291"/>
      <c r="BC104" s="291"/>
      <c r="BD104" s="291"/>
      <c r="BE104" s="291"/>
      <c r="BF104" s="291"/>
      <c r="BG104" s="291"/>
      <c r="BH104" s="291"/>
      <c r="BI104" s="291"/>
    </row>
    <row r="105" spans="2:61" x14ac:dyDescent="0.35">
      <c r="B105" s="349"/>
      <c r="AH105" s="291"/>
      <c r="AI105" s="291"/>
      <c r="AJ105" s="291"/>
      <c r="AK105" s="291"/>
      <c r="AL105" s="291"/>
      <c r="AM105" s="291"/>
      <c r="AN105" s="290"/>
      <c r="AO105" s="291"/>
      <c r="AP105" s="291"/>
      <c r="AQ105" s="291"/>
      <c r="AR105" s="291"/>
      <c r="AS105" s="291"/>
      <c r="AT105" s="291"/>
      <c r="AU105" s="291"/>
      <c r="AV105" s="291"/>
      <c r="AW105" s="291"/>
      <c r="AX105" s="291"/>
      <c r="AY105" s="291"/>
      <c r="AZ105" s="291"/>
      <c r="BA105" s="291"/>
      <c r="BB105" s="291"/>
      <c r="BC105" s="291"/>
      <c r="BD105" s="291"/>
      <c r="BE105" s="291"/>
      <c r="BF105" s="291"/>
      <c r="BG105" s="291"/>
      <c r="BH105" s="291"/>
      <c r="BI105" s="291"/>
    </row>
    <row r="106" spans="2:61" x14ac:dyDescent="0.35">
      <c r="B106" s="349"/>
      <c r="AH106" s="291"/>
      <c r="AI106" s="291"/>
      <c r="AJ106" s="291"/>
      <c r="AK106" s="291"/>
      <c r="AL106" s="291"/>
      <c r="AM106" s="291"/>
      <c r="AN106" s="290"/>
      <c r="AO106" s="291"/>
      <c r="AP106" s="291"/>
      <c r="AQ106" s="291"/>
      <c r="AR106" s="291"/>
      <c r="AS106" s="291"/>
      <c r="AT106" s="291"/>
      <c r="AU106" s="291"/>
      <c r="AV106" s="291"/>
      <c r="AW106" s="291"/>
      <c r="AX106" s="291"/>
      <c r="AY106" s="291"/>
      <c r="AZ106" s="291"/>
      <c r="BA106" s="291"/>
      <c r="BB106" s="291"/>
      <c r="BC106" s="291"/>
      <c r="BD106" s="291"/>
      <c r="BE106" s="291"/>
      <c r="BF106" s="291"/>
      <c r="BG106" s="291"/>
      <c r="BH106" s="291"/>
      <c r="BI106" s="291"/>
    </row>
    <row r="107" spans="2:61" x14ac:dyDescent="0.35">
      <c r="B107" s="349"/>
      <c r="AH107" s="291"/>
      <c r="AI107" s="291"/>
      <c r="AJ107" s="291"/>
      <c r="AK107" s="291"/>
      <c r="AL107" s="291"/>
      <c r="AM107" s="291"/>
      <c r="AN107" s="290"/>
      <c r="AO107" s="291"/>
      <c r="AP107" s="291"/>
      <c r="AQ107" s="291"/>
      <c r="AR107" s="291"/>
      <c r="AS107" s="291"/>
      <c r="AT107" s="291"/>
      <c r="AU107" s="291"/>
      <c r="AV107" s="291"/>
      <c r="AW107" s="291"/>
      <c r="AX107" s="291"/>
      <c r="AY107" s="291"/>
      <c r="AZ107" s="291"/>
      <c r="BA107" s="291"/>
      <c r="BB107" s="291"/>
      <c r="BC107" s="291"/>
      <c r="BD107" s="291"/>
      <c r="BE107" s="291"/>
      <c r="BF107" s="291"/>
      <c r="BG107" s="291"/>
      <c r="BH107" s="291"/>
      <c r="BI107" s="291"/>
    </row>
    <row r="108" spans="2:61" x14ac:dyDescent="0.35">
      <c r="B108" s="349"/>
      <c r="AH108" s="291"/>
      <c r="AI108" s="291"/>
      <c r="AJ108" s="291"/>
      <c r="AK108" s="291"/>
      <c r="AL108" s="291"/>
      <c r="AM108" s="291"/>
      <c r="AN108" s="290"/>
      <c r="AO108" s="291"/>
      <c r="AP108" s="291"/>
      <c r="AQ108" s="291"/>
      <c r="AR108" s="291"/>
      <c r="AS108" s="291"/>
      <c r="AT108" s="291"/>
      <c r="AU108" s="291"/>
      <c r="AV108" s="291"/>
      <c r="AW108" s="291"/>
      <c r="AX108" s="291"/>
      <c r="AY108" s="291"/>
      <c r="AZ108" s="291"/>
      <c r="BA108" s="291"/>
      <c r="BB108" s="291"/>
      <c r="BC108" s="291"/>
      <c r="BD108" s="291"/>
      <c r="BE108" s="291"/>
      <c r="BF108" s="291"/>
      <c r="BG108" s="291"/>
      <c r="BH108" s="291"/>
      <c r="BI108" s="291"/>
    </row>
    <row r="109" spans="2:61" x14ac:dyDescent="0.35">
      <c r="B109" s="349"/>
      <c r="AH109" s="291"/>
      <c r="AI109" s="291"/>
      <c r="AJ109" s="291"/>
      <c r="AK109" s="291"/>
      <c r="AL109" s="291"/>
      <c r="AM109" s="291"/>
      <c r="AN109" s="290"/>
      <c r="AO109" s="291"/>
      <c r="AP109" s="291"/>
      <c r="AQ109" s="291"/>
      <c r="AR109" s="291"/>
      <c r="AS109" s="291"/>
      <c r="AT109" s="291"/>
      <c r="AU109" s="291"/>
      <c r="AV109" s="291"/>
      <c r="AW109" s="291"/>
      <c r="AX109" s="291"/>
      <c r="AY109" s="291"/>
      <c r="AZ109" s="291"/>
      <c r="BA109" s="291"/>
      <c r="BB109" s="291"/>
      <c r="BC109" s="291"/>
      <c r="BD109" s="291"/>
      <c r="BE109" s="291"/>
      <c r="BF109" s="291"/>
      <c r="BG109" s="291"/>
      <c r="BH109" s="291"/>
      <c r="BI109" s="291"/>
    </row>
    <row r="110" spans="2:61" x14ac:dyDescent="0.35">
      <c r="B110" s="349"/>
      <c r="AH110" s="291"/>
      <c r="AI110" s="291"/>
      <c r="AJ110" s="291"/>
      <c r="AK110" s="291"/>
      <c r="AL110" s="291"/>
      <c r="AM110" s="291"/>
      <c r="AN110" s="290"/>
      <c r="AO110" s="291"/>
      <c r="AP110" s="291"/>
      <c r="AQ110" s="291"/>
      <c r="AR110" s="291"/>
      <c r="AS110" s="291"/>
      <c r="AT110" s="291"/>
      <c r="AU110" s="291"/>
      <c r="AV110" s="291"/>
      <c r="AW110" s="291"/>
      <c r="AX110" s="291"/>
      <c r="AY110" s="291"/>
      <c r="AZ110" s="291"/>
      <c r="BA110" s="291"/>
      <c r="BB110" s="291"/>
      <c r="BC110" s="291"/>
      <c r="BD110" s="291"/>
      <c r="BE110" s="291"/>
      <c r="BF110" s="291"/>
      <c r="BG110" s="291"/>
      <c r="BH110" s="291"/>
      <c r="BI110" s="291"/>
    </row>
    <row r="111" spans="2:61" x14ac:dyDescent="0.35">
      <c r="B111" s="349"/>
      <c r="AH111" s="291"/>
      <c r="AI111" s="291"/>
      <c r="AJ111" s="291"/>
      <c r="AK111" s="291"/>
      <c r="AL111" s="291"/>
      <c r="AM111" s="291"/>
      <c r="AN111" s="290"/>
      <c r="AO111" s="291"/>
      <c r="AP111" s="291"/>
      <c r="AQ111" s="291"/>
      <c r="AR111" s="291"/>
      <c r="AS111" s="291"/>
      <c r="AT111" s="291"/>
      <c r="AU111" s="291"/>
      <c r="AV111" s="291"/>
      <c r="AW111" s="291"/>
      <c r="AX111" s="291"/>
      <c r="AY111" s="291"/>
      <c r="AZ111" s="291"/>
      <c r="BA111" s="291"/>
      <c r="BB111" s="291"/>
      <c r="BC111" s="291"/>
      <c r="BD111" s="291"/>
      <c r="BE111" s="291"/>
      <c r="BF111" s="291"/>
      <c r="BG111" s="291"/>
      <c r="BH111" s="291"/>
      <c r="BI111" s="291"/>
    </row>
    <row r="112" spans="2:61" x14ac:dyDescent="0.35">
      <c r="B112" s="349"/>
      <c r="AH112" s="291"/>
      <c r="AI112" s="291"/>
      <c r="AJ112" s="291"/>
      <c r="AK112" s="291"/>
      <c r="AL112" s="291"/>
      <c r="AM112" s="291"/>
      <c r="AN112" s="290"/>
      <c r="AO112" s="291"/>
      <c r="AP112" s="291"/>
      <c r="AQ112" s="291"/>
      <c r="AR112" s="291"/>
      <c r="AS112" s="291"/>
      <c r="AT112" s="291"/>
      <c r="AU112" s="291"/>
      <c r="AV112" s="291"/>
      <c r="AW112" s="291"/>
      <c r="AX112" s="291"/>
      <c r="AY112" s="291"/>
      <c r="AZ112" s="291"/>
      <c r="BA112" s="291"/>
      <c r="BB112" s="291"/>
      <c r="BC112" s="291"/>
      <c r="BD112" s="291"/>
      <c r="BE112" s="291"/>
      <c r="BF112" s="291"/>
      <c r="BG112" s="291"/>
      <c r="BH112" s="291"/>
      <c r="BI112" s="291"/>
    </row>
    <row r="113" spans="2:61" x14ac:dyDescent="0.35">
      <c r="B113" s="349"/>
      <c r="AH113" s="291"/>
      <c r="AI113" s="291"/>
      <c r="AJ113" s="291"/>
      <c r="AK113" s="291"/>
      <c r="AL113" s="291"/>
      <c r="AM113" s="291"/>
      <c r="AN113" s="290"/>
      <c r="AO113" s="291"/>
      <c r="AP113" s="291"/>
      <c r="AQ113" s="291"/>
      <c r="AR113" s="291"/>
      <c r="AS113" s="291"/>
      <c r="AT113" s="291"/>
      <c r="AU113" s="291"/>
      <c r="AV113" s="291"/>
      <c r="AW113" s="291"/>
      <c r="AX113" s="291"/>
      <c r="AY113" s="291"/>
      <c r="AZ113" s="291"/>
      <c r="BA113" s="291"/>
      <c r="BB113" s="291"/>
      <c r="BC113" s="291"/>
      <c r="BD113" s="291"/>
      <c r="BE113" s="291"/>
      <c r="BF113" s="291"/>
      <c r="BG113" s="291"/>
      <c r="BH113" s="291"/>
      <c r="BI113" s="291"/>
    </row>
    <row r="114" spans="2:61" x14ac:dyDescent="0.35">
      <c r="B114" s="349"/>
      <c r="AH114" s="291"/>
      <c r="AI114" s="291"/>
      <c r="AJ114" s="291"/>
      <c r="AK114" s="291"/>
      <c r="AL114" s="291"/>
      <c r="AM114" s="291"/>
      <c r="AN114" s="290"/>
      <c r="AO114" s="291"/>
      <c r="AP114" s="291"/>
      <c r="AQ114" s="291"/>
      <c r="AR114" s="291"/>
      <c r="AS114" s="291"/>
      <c r="AT114" s="291"/>
      <c r="AU114" s="291"/>
      <c r="AV114" s="291"/>
      <c r="AW114" s="291"/>
      <c r="AX114" s="291"/>
      <c r="AY114" s="291"/>
      <c r="AZ114" s="291"/>
      <c r="BA114" s="291"/>
      <c r="BB114" s="291"/>
      <c r="BC114" s="291"/>
      <c r="BD114" s="291"/>
      <c r="BE114" s="291"/>
      <c r="BF114" s="291"/>
      <c r="BG114" s="291"/>
      <c r="BH114" s="291"/>
      <c r="BI114" s="291"/>
    </row>
    <row r="115" spans="2:61" x14ac:dyDescent="0.35">
      <c r="B115" s="349"/>
      <c r="AH115" s="291"/>
      <c r="AI115" s="291"/>
      <c r="AJ115" s="291"/>
      <c r="AK115" s="291"/>
      <c r="AL115" s="291"/>
      <c r="AM115" s="291"/>
      <c r="AN115" s="290"/>
      <c r="AO115" s="291"/>
      <c r="AP115" s="291"/>
      <c r="AQ115" s="291"/>
      <c r="AR115" s="291"/>
      <c r="AS115" s="291"/>
      <c r="AT115" s="291"/>
      <c r="AU115" s="291"/>
      <c r="AV115" s="291"/>
      <c r="AW115" s="291"/>
      <c r="AX115" s="291"/>
      <c r="AY115" s="291"/>
      <c r="AZ115" s="291"/>
      <c r="BA115" s="291"/>
      <c r="BB115" s="291"/>
      <c r="BC115" s="291"/>
      <c r="BD115" s="291"/>
      <c r="BE115" s="291"/>
      <c r="BF115" s="291"/>
      <c r="BG115" s="291"/>
      <c r="BH115" s="291"/>
      <c r="BI115" s="291"/>
    </row>
    <row r="116" spans="2:61" x14ac:dyDescent="0.35">
      <c r="B116" s="349"/>
    </row>
    <row r="117" spans="2:61" x14ac:dyDescent="0.35">
      <c r="B117" s="349"/>
    </row>
    <row r="118" spans="2:61" x14ac:dyDescent="0.35">
      <c r="B118" s="349"/>
    </row>
    <row r="119" spans="2:61" x14ac:dyDescent="0.35">
      <c r="B119" s="349"/>
    </row>
    <row r="120" spans="2:61" x14ac:dyDescent="0.35">
      <c r="B120" s="349"/>
    </row>
    <row r="121" spans="2:61" x14ac:dyDescent="0.35">
      <c r="B121" s="349"/>
    </row>
    <row r="122" spans="2:61" x14ac:dyDescent="0.35">
      <c r="B122" s="349"/>
    </row>
    <row r="123" spans="2:61" x14ac:dyDescent="0.35">
      <c r="B123" s="349"/>
    </row>
    <row r="124" spans="2:61" x14ac:dyDescent="0.35">
      <c r="B124" s="349"/>
    </row>
    <row r="125" spans="2:61" x14ac:dyDescent="0.35">
      <c r="B125" s="349"/>
    </row>
    <row r="126" spans="2:61" x14ac:dyDescent="0.35">
      <c r="B126" s="349"/>
    </row>
    <row r="127" spans="2:61" x14ac:dyDescent="0.35">
      <c r="B127" s="349"/>
    </row>
    <row r="128" spans="2:61" x14ac:dyDescent="0.35">
      <c r="B128" s="349"/>
    </row>
    <row r="129" spans="2:2" x14ac:dyDescent="0.35">
      <c r="B129" s="349"/>
    </row>
    <row r="130" spans="2:2" x14ac:dyDescent="0.35">
      <c r="B130" s="349"/>
    </row>
    <row r="131" spans="2:2" x14ac:dyDescent="0.35">
      <c r="B131" s="349"/>
    </row>
    <row r="132" spans="2:2" x14ac:dyDescent="0.35">
      <c r="B132" s="349"/>
    </row>
    <row r="133" spans="2:2" x14ac:dyDescent="0.35">
      <c r="B133" s="349"/>
    </row>
    <row r="134" spans="2:2" x14ac:dyDescent="0.35">
      <c r="B134" s="349"/>
    </row>
    <row r="135" spans="2:2" x14ac:dyDescent="0.35">
      <c r="B135" s="349"/>
    </row>
    <row r="136" spans="2:2" x14ac:dyDescent="0.35">
      <c r="B136" s="349"/>
    </row>
    <row r="137" spans="2:2" x14ac:dyDescent="0.35">
      <c r="B137" s="349"/>
    </row>
    <row r="138" spans="2:2" x14ac:dyDescent="0.35">
      <c r="B138" s="349"/>
    </row>
    <row r="139" spans="2:2" x14ac:dyDescent="0.35">
      <c r="B139" s="349"/>
    </row>
    <row r="140" spans="2:2" x14ac:dyDescent="0.35">
      <c r="B140" s="349"/>
    </row>
    <row r="141" spans="2:2" x14ac:dyDescent="0.35">
      <c r="B141" s="349"/>
    </row>
    <row r="142" spans="2:2" x14ac:dyDescent="0.35">
      <c r="B142" s="349"/>
    </row>
    <row r="143" spans="2:2" x14ac:dyDescent="0.35">
      <c r="B143" s="349"/>
    </row>
    <row r="144" spans="2:2" x14ac:dyDescent="0.35">
      <c r="B144" s="349"/>
    </row>
    <row r="145" spans="2:2" x14ac:dyDescent="0.35">
      <c r="B145" s="349"/>
    </row>
    <row r="146" spans="2:2" x14ac:dyDescent="0.35">
      <c r="B146" s="349"/>
    </row>
    <row r="147" spans="2:2" x14ac:dyDescent="0.35">
      <c r="B147" s="349"/>
    </row>
    <row r="148" spans="2:2" x14ac:dyDescent="0.35">
      <c r="B148" s="349"/>
    </row>
    <row r="149" spans="2:2" x14ac:dyDescent="0.35">
      <c r="B149" s="349"/>
    </row>
    <row r="150" spans="2:2" x14ac:dyDescent="0.35">
      <c r="B150" s="349"/>
    </row>
    <row r="151" spans="2:2" x14ac:dyDescent="0.35">
      <c r="B151" s="349"/>
    </row>
    <row r="152" spans="2:2" x14ac:dyDescent="0.35">
      <c r="B152" s="349"/>
    </row>
    <row r="153" spans="2:2" x14ac:dyDescent="0.35">
      <c r="B153" s="349"/>
    </row>
    <row r="154" spans="2:2" x14ac:dyDescent="0.35">
      <c r="B154" s="349"/>
    </row>
    <row r="155" spans="2:2" x14ac:dyDescent="0.35">
      <c r="B155" s="349"/>
    </row>
    <row r="156" spans="2:2" x14ac:dyDescent="0.35">
      <c r="B156" s="349"/>
    </row>
    <row r="157" spans="2:2" x14ac:dyDescent="0.35">
      <c r="B157" s="349"/>
    </row>
    <row r="158" spans="2:2" x14ac:dyDescent="0.35">
      <c r="B158" s="349"/>
    </row>
    <row r="159" spans="2:2" x14ac:dyDescent="0.35">
      <c r="B159" s="349"/>
    </row>
    <row r="160" spans="2:2" x14ac:dyDescent="0.35">
      <c r="B160" s="349"/>
    </row>
    <row r="161" spans="2:2" x14ac:dyDescent="0.35">
      <c r="B161" s="349"/>
    </row>
    <row r="162" spans="2:2" x14ac:dyDescent="0.35">
      <c r="B162" s="349"/>
    </row>
    <row r="163" spans="2:2" x14ac:dyDescent="0.35">
      <c r="B163" s="349"/>
    </row>
    <row r="164" spans="2:2" x14ac:dyDescent="0.35">
      <c r="B164" s="349"/>
    </row>
    <row r="165" spans="2:2" x14ac:dyDescent="0.35">
      <c r="B165" s="349"/>
    </row>
    <row r="166" spans="2:2" x14ac:dyDescent="0.35">
      <c r="B166" s="349"/>
    </row>
    <row r="167" spans="2:2" x14ac:dyDescent="0.35">
      <c r="B167" s="349"/>
    </row>
    <row r="168" spans="2:2" x14ac:dyDescent="0.35">
      <c r="B168" s="349"/>
    </row>
    <row r="169" spans="2:2" x14ac:dyDescent="0.35">
      <c r="B169" s="349"/>
    </row>
    <row r="170" spans="2:2" x14ac:dyDescent="0.35">
      <c r="B170" s="349"/>
    </row>
    <row r="171" spans="2:2" x14ac:dyDescent="0.35">
      <c r="B171" s="349"/>
    </row>
    <row r="172" spans="2:2" x14ac:dyDescent="0.35">
      <c r="B172" s="349"/>
    </row>
    <row r="173" spans="2:2" x14ac:dyDescent="0.35">
      <c r="B173" s="349"/>
    </row>
    <row r="174" spans="2:2" x14ac:dyDescent="0.35">
      <c r="B174" s="349"/>
    </row>
    <row r="175" spans="2:2" x14ac:dyDescent="0.35">
      <c r="B175" s="349"/>
    </row>
    <row r="176" spans="2:2" x14ac:dyDescent="0.35">
      <c r="B176" s="349"/>
    </row>
    <row r="177" spans="2:2" x14ac:dyDescent="0.35">
      <c r="B177" s="349"/>
    </row>
    <row r="178" spans="2:2" x14ac:dyDescent="0.35">
      <c r="B178" s="349"/>
    </row>
    <row r="179" spans="2:2" x14ac:dyDescent="0.35">
      <c r="B179" s="349"/>
    </row>
    <row r="180" spans="2:2" x14ac:dyDescent="0.35">
      <c r="B180" s="349"/>
    </row>
    <row r="181" spans="2:2" x14ac:dyDescent="0.35">
      <c r="B181" s="349"/>
    </row>
    <row r="182" spans="2:2" x14ac:dyDescent="0.35">
      <c r="B182" s="349"/>
    </row>
    <row r="183" spans="2:2" x14ac:dyDescent="0.35">
      <c r="B183" s="349"/>
    </row>
    <row r="184" spans="2:2" x14ac:dyDescent="0.35">
      <c r="B184" s="349"/>
    </row>
    <row r="185" spans="2:2" x14ac:dyDescent="0.35">
      <c r="B185" s="349"/>
    </row>
    <row r="186" spans="2:2" x14ac:dyDescent="0.35">
      <c r="B186" s="349"/>
    </row>
    <row r="187" spans="2:2" x14ac:dyDescent="0.35">
      <c r="B187" s="349"/>
    </row>
    <row r="188" spans="2:2" x14ac:dyDescent="0.35">
      <c r="B188" s="349"/>
    </row>
    <row r="189" spans="2:2" x14ac:dyDescent="0.35">
      <c r="B189" s="349"/>
    </row>
    <row r="190" spans="2:2" x14ac:dyDescent="0.35">
      <c r="B190" s="349"/>
    </row>
    <row r="191" spans="2:2" x14ac:dyDescent="0.35">
      <c r="B191" s="349"/>
    </row>
    <row r="192" spans="2:2" x14ac:dyDescent="0.35">
      <c r="B192" s="349"/>
    </row>
    <row r="193" spans="2:2" x14ac:dyDescent="0.35">
      <c r="B193" s="349"/>
    </row>
    <row r="194" spans="2:2" x14ac:dyDescent="0.35">
      <c r="B194" s="349"/>
    </row>
    <row r="195" spans="2:2" x14ac:dyDescent="0.35">
      <c r="B195" s="349"/>
    </row>
    <row r="196" spans="2:2" x14ac:dyDescent="0.35">
      <c r="B196" s="349"/>
    </row>
    <row r="197" spans="2:2" x14ac:dyDescent="0.35">
      <c r="B197" s="349"/>
    </row>
    <row r="198" spans="2:2" x14ac:dyDescent="0.35">
      <c r="B198" s="349"/>
    </row>
    <row r="199" spans="2:2" x14ac:dyDescent="0.35">
      <c r="B199" s="349"/>
    </row>
    <row r="200" spans="2:2" x14ac:dyDescent="0.35">
      <c r="B200" s="349"/>
    </row>
    <row r="201" spans="2:2" x14ac:dyDescent="0.35">
      <c r="B201" s="349"/>
    </row>
    <row r="202" spans="2:2" x14ac:dyDescent="0.35">
      <c r="B202" s="349"/>
    </row>
    <row r="203" spans="2:2" x14ac:dyDescent="0.35">
      <c r="B203" s="349"/>
    </row>
    <row r="204" spans="2:2" x14ac:dyDescent="0.35">
      <c r="B204" s="349"/>
    </row>
    <row r="205" spans="2:2" x14ac:dyDescent="0.35">
      <c r="B205" s="349"/>
    </row>
    <row r="206" spans="2:2" x14ac:dyDescent="0.35">
      <c r="B206" s="349"/>
    </row>
    <row r="207" spans="2:2" x14ac:dyDescent="0.35">
      <c r="B207" s="349"/>
    </row>
    <row r="208" spans="2:2" x14ac:dyDescent="0.35">
      <c r="B208" s="349"/>
    </row>
    <row r="209" spans="2:2" x14ac:dyDescent="0.35">
      <c r="B209" s="349"/>
    </row>
    <row r="210" spans="2:2" x14ac:dyDescent="0.35">
      <c r="B210" s="349"/>
    </row>
    <row r="211" spans="2:2" x14ac:dyDescent="0.35">
      <c r="B211" s="349"/>
    </row>
    <row r="212" spans="2:2" x14ac:dyDescent="0.35">
      <c r="B212" s="349"/>
    </row>
    <row r="213" spans="2:2" x14ac:dyDescent="0.35">
      <c r="B213" s="349"/>
    </row>
    <row r="214" spans="2:2" x14ac:dyDescent="0.35">
      <c r="B214" s="349"/>
    </row>
    <row r="215" spans="2:2" x14ac:dyDescent="0.35">
      <c r="B215" s="349"/>
    </row>
    <row r="216" spans="2:2" x14ac:dyDescent="0.35">
      <c r="B216" s="349"/>
    </row>
    <row r="217" spans="2:2" x14ac:dyDescent="0.35">
      <c r="B217" s="349"/>
    </row>
    <row r="218" spans="2:2" x14ac:dyDescent="0.35">
      <c r="B218" s="349"/>
    </row>
    <row r="219" spans="2:2" x14ac:dyDescent="0.35">
      <c r="B219" s="349"/>
    </row>
    <row r="220" spans="2:2" x14ac:dyDescent="0.35">
      <c r="B220" s="349"/>
    </row>
    <row r="221" spans="2:2" x14ac:dyDescent="0.35">
      <c r="B221" s="349"/>
    </row>
    <row r="222" spans="2:2" x14ac:dyDescent="0.35">
      <c r="B222" s="349"/>
    </row>
    <row r="223" spans="2:2" x14ac:dyDescent="0.35">
      <c r="B223" s="349"/>
    </row>
    <row r="224" spans="2:2" x14ac:dyDescent="0.35">
      <c r="B224" s="349"/>
    </row>
    <row r="225" spans="2:2" x14ac:dyDescent="0.35">
      <c r="B225" s="349"/>
    </row>
    <row r="226" spans="2:2" x14ac:dyDescent="0.35">
      <c r="B226" s="349"/>
    </row>
    <row r="227" spans="2:2" x14ac:dyDescent="0.35">
      <c r="B227" s="349"/>
    </row>
    <row r="228" spans="2:2" x14ac:dyDescent="0.35">
      <c r="B228" s="349"/>
    </row>
    <row r="229" spans="2:2" x14ac:dyDescent="0.35">
      <c r="B229" s="349"/>
    </row>
    <row r="230" spans="2:2" x14ac:dyDescent="0.35">
      <c r="B230" s="349"/>
    </row>
    <row r="231" spans="2:2" x14ac:dyDescent="0.35">
      <c r="B231" s="349"/>
    </row>
    <row r="232" spans="2:2" x14ac:dyDescent="0.35">
      <c r="B232" s="349"/>
    </row>
    <row r="233" spans="2:2" x14ac:dyDescent="0.35">
      <c r="B233" s="349"/>
    </row>
    <row r="234" spans="2:2" x14ac:dyDescent="0.35">
      <c r="B234" s="349"/>
    </row>
    <row r="235" spans="2:2" x14ac:dyDescent="0.35">
      <c r="B235" s="349"/>
    </row>
    <row r="236" spans="2:2" x14ac:dyDescent="0.35">
      <c r="B236" s="349"/>
    </row>
    <row r="237" spans="2:2" x14ac:dyDescent="0.35">
      <c r="B237" s="349"/>
    </row>
    <row r="238" spans="2:2" x14ac:dyDescent="0.35">
      <c r="B238" s="349"/>
    </row>
    <row r="239" spans="2:2" x14ac:dyDescent="0.35">
      <c r="B239" s="349"/>
    </row>
    <row r="240" spans="2:2" x14ac:dyDescent="0.35">
      <c r="B240" s="349"/>
    </row>
    <row r="241" spans="2:2" x14ac:dyDescent="0.35">
      <c r="B241" s="349"/>
    </row>
    <row r="242" spans="2:2" x14ac:dyDescent="0.35">
      <c r="B242" s="349"/>
    </row>
    <row r="243" spans="2:2" x14ac:dyDescent="0.35">
      <c r="B243" s="349"/>
    </row>
    <row r="244" spans="2:2" x14ac:dyDescent="0.35">
      <c r="B244" s="349"/>
    </row>
    <row r="245" spans="2:2" x14ac:dyDescent="0.35">
      <c r="B245" s="349"/>
    </row>
    <row r="246" spans="2:2" x14ac:dyDescent="0.35">
      <c r="B246" s="349"/>
    </row>
    <row r="247" spans="2:2" x14ac:dyDescent="0.35">
      <c r="B247" s="349"/>
    </row>
    <row r="248" spans="2:2" x14ac:dyDescent="0.35">
      <c r="B248" s="349"/>
    </row>
    <row r="249" spans="2:2" x14ac:dyDescent="0.35">
      <c r="B249" s="349"/>
    </row>
    <row r="250" spans="2:2" x14ac:dyDescent="0.35">
      <c r="B250" s="349"/>
    </row>
    <row r="251" spans="2:2" x14ac:dyDescent="0.35">
      <c r="B251" s="349"/>
    </row>
    <row r="252" spans="2:2" x14ac:dyDescent="0.35">
      <c r="B252" s="349"/>
    </row>
    <row r="253" spans="2:2" x14ac:dyDescent="0.35">
      <c r="B253" s="349"/>
    </row>
    <row r="254" spans="2:2" x14ac:dyDescent="0.35">
      <c r="B254" s="349"/>
    </row>
    <row r="255" spans="2:2" x14ac:dyDescent="0.35">
      <c r="B255" s="349"/>
    </row>
    <row r="256" spans="2:2" x14ac:dyDescent="0.35">
      <c r="B256" s="349"/>
    </row>
    <row r="257" spans="2:2" x14ac:dyDescent="0.35">
      <c r="B257" s="349"/>
    </row>
    <row r="258" spans="2:2" x14ac:dyDescent="0.35">
      <c r="B258" s="349"/>
    </row>
    <row r="259" spans="2:2" x14ac:dyDescent="0.35">
      <c r="B259" s="349"/>
    </row>
    <row r="260" spans="2:2" x14ac:dyDescent="0.35">
      <c r="B260" s="349"/>
    </row>
    <row r="261" spans="2:2" x14ac:dyDescent="0.35">
      <c r="B261" s="349"/>
    </row>
    <row r="262" spans="2:2" x14ac:dyDescent="0.35">
      <c r="B262" s="349"/>
    </row>
    <row r="263" spans="2:2" x14ac:dyDescent="0.35">
      <c r="B263" s="349"/>
    </row>
    <row r="264" spans="2:2" x14ac:dyDescent="0.35">
      <c r="B264" s="349"/>
    </row>
    <row r="265" spans="2:2" x14ac:dyDescent="0.35">
      <c r="B265" s="349"/>
    </row>
    <row r="266" spans="2:2" x14ac:dyDescent="0.35">
      <c r="B266" s="349"/>
    </row>
    <row r="267" spans="2:2" x14ac:dyDescent="0.35">
      <c r="B267" s="349"/>
    </row>
  </sheetData>
  <mergeCells count="9">
    <mergeCell ref="CL1:CQ1"/>
    <mergeCell ref="CR1:CW1"/>
    <mergeCell ref="CX1:DC1"/>
    <mergeCell ref="DD1:DI1"/>
    <mergeCell ref="BJ1:BK1"/>
    <mergeCell ref="BN1:BS1"/>
    <mergeCell ref="BT1:BY1"/>
    <mergeCell ref="BZ1:CE1"/>
    <mergeCell ref="CF1:CK1"/>
  </mergeCells>
  <conditionalFormatting sqref="D4:D8">
    <cfRule type="containsText" dxfId="566" priority="17" operator="containsText" text="Critical">
      <formula>NOT(ISERROR(SEARCH("Critical",D4)))</formula>
    </cfRule>
    <cfRule type="containsText" dxfId="565" priority="18" operator="containsText" text="Essential">
      <formula>NOT(ISERROR(SEARCH("Essential",D4)))</formula>
    </cfRule>
    <cfRule type="containsText" dxfId="564" priority="19" operator="containsText" text="Desirable">
      <formula>NOT(ISERROR(SEARCH("Desirable",D4)))</formula>
    </cfRule>
  </conditionalFormatting>
  <conditionalFormatting sqref="D10">
    <cfRule type="containsText" dxfId="563" priority="4" operator="containsText" text="Critical">
      <formula>NOT(ISERROR(SEARCH("Critical",D10)))</formula>
    </cfRule>
    <cfRule type="containsText" dxfId="562" priority="5" operator="containsText" text="Essential">
      <formula>NOT(ISERROR(SEARCH("Essential",D10)))</formula>
    </cfRule>
    <cfRule type="containsText" dxfId="561" priority="6" operator="containsText" text="Desirable">
      <formula>NOT(ISERROR(SEARCH("Desirable",D10)))</formula>
    </cfRule>
  </conditionalFormatting>
  <conditionalFormatting sqref="D20:D25">
    <cfRule type="containsText" dxfId="560" priority="1" operator="containsText" text="Critical">
      <formula>NOT(ISERROR(SEARCH("Critical",D20)))</formula>
    </cfRule>
    <cfRule type="containsText" dxfId="559" priority="2" operator="containsText" text="Essential">
      <formula>NOT(ISERROR(SEARCH("Essential",D20)))</formula>
    </cfRule>
    <cfRule type="containsText" dxfId="558" priority="3" operator="containsText" text="Desirable">
      <formula>NOT(ISERROR(SEARCH("Desirable",D20)))</formula>
    </cfRule>
  </conditionalFormatting>
  <conditionalFormatting sqref="N2:AB2">
    <cfRule type="containsText" dxfId="556" priority="7" operator="containsText" text="20+">
      <formula>NOT(ISERROR(SEARCH("20+",N2)))</formula>
    </cfRule>
    <cfRule type="containsText" dxfId="555" priority="8" operator="containsText" text="unknown">
      <formula>NOT(ISERROR(SEARCH("unknown",N2)))</formula>
    </cfRule>
    <cfRule type="containsText" dxfId="554" priority="9" operator="containsText" text="15-20 years">
      <formula>NOT(ISERROR(SEARCH("15-20 years",N2)))</formula>
    </cfRule>
    <cfRule type="containsText" dxfId="553" priority="10" operator="containsText" text="10-15 years">
      <formula>NOT(ISERROR(SEARCH("10-15 years",N2)))</formula>
    </cfRule>
    <cfRule type="containsText" dxfId="552" priority="11" operator="containsText" text="5-10 years">
      <formula>NOT(ISERROR(SEARCH("5-10 years",N2)))</formula>
    </cfRule>
    <cfRule type="containsText" dxfId="551" priority="12" operator="containsText" text="0-20 years">
      <formula>NOT(ISERROR(SEARCH("0-20 years",N2)))</formula>
    </cfRule>
    <cfRule type="containsText" dxfId="550" priority="13" operator="containsText" text="0-5 years">
      <formula>NOT(ISERROR(SEARCH("0-5 years",N2)))</formula>
    </cfRule>
  </conditionalFormatting>
  <conditionalFormatting sqref="AF2">
    <cfRule type="containsText" dxfId="549" priority="24" operator="containsText" text="20+">
      <formula>NOT(ISERROR(SEARCH("20+",AF2)))</formula>
    </cfRule>
    <cfRule type="containsText" dxfId="548" priority="25" operator="containsText" text="unknown">
      <formula>NOT(ISERROR(SEARCH("unknown",AF2)))</formula>
    </cfRule>
    <cfRule type="containsText" dxfId="547" priority="26" operator="containsText" text="15-20 years">
      <formula>NOT(ISERROR(SEARCH("15-20 years",AF2)))</formula>
    </cfRule>
    <cfRule type="containsText" dxfId="546" priority="27" operator="containsText" text="10-15 years">
      <formula>NOT(ISERROR(SEARCH("10-15 years",AF2)))</formula>
    </cfRule>
    <cfRule type="containsText" dxfId="545" priority="28" operator="containsText" text="5-10 years">
      <formula>NOT(ISERROR(SEARCH("5-10 years",AF2)))</formula>
    </cfRule>
    <cfRule type="containsText" dxfId="544" priority="29" operator="containsText" text="0-20 years">
      <formula>NOT(ISERROR(SEARCH("0-20 years",AF2)))</formula>
    </cfRule>
    <cfRule type="containsText" dxfId="543" priority="30" operator="containsText" text="0-5 years">
      <formula>NOT(ISERROR(SEARCH("0-5 years",AF2)))</formula>
    </cfRule>
  </conditionalFormatting>
  <pageMargins left="0.25" right="0.25" top="0.75" bottom="0.75" header="0.3" footer="0.3"/>
  <pageSetup paperSize="8" scale="17"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20" operator="containsText" text="Critical" id="{67EDB77F-C527-4A0D-8E68-03344E278405}">
            <xm:f>NOT(ISERROR(SEARCH("Critical",'K:\Projects\HGGT0003 - HGGT IDP Update 2021-22\[20190414_HGGT_IDP_2019_Schedule.xlsx]Utilities'!#REF!)))</xm:f>
            <x14:dxf>
              <font>
                <color theme="0"/>
              </font>
              <fill>
                <patternFill>
                  <bgColor rgb="FFFF0000"/>
                </patternFill>
              </fill>
            </x14:dxf>
          </x14:cfRule>
          <x14:cfRule type="containsText" priority="21" operator="containsText" text="Essential" id="{F89AB246-F592-48BE-B840-6A3DDAD152A8}">
            <xm:f>NOT(ISERROR(SEARCH("Essential",'K:\Projects\HGGT0003 - HGGT IDP Update 2021-22\[20190414_HGGT_IDP_2019_Schedule.xlsx]Utilities'!#REF!)))</xm:f>
            <x14:dxf>
              <font>
                <color theme="0"/>
              </font>
              <fill>
                <patternFill>
                  <bgColor rgb="FFFFC000"/>
                </patternFill>
              </fill>
            </x14:dxf>
          </x14:cfRule>
          <x14:cfRule type="containsText" priority="22" operator="containsText" text="Desirable" id="{9C9EBBE8-B9A8-4A4F-A407-E2D34A5F4A8C}">
            <xm:f>NOT(ISERROR(SEARCH("Desirable",'K:\Projects\HGGT0003 - HGGT IDP Update 2021-22\[20190414_HGGT_IDP_2019_Schedule.xlsx]Utilities'!#REF!)))</xm:f>
            <x14:dxf>
              <font>
                <color theme="0"/>
              </font>
              <fill>
                <patternFill>
                  <bgColor rgb="FF92D050"/>
                </patternFill>
              </fill>
            </x14:dxf>
          </x14:cfRule>
          <x14:cfRule type="containsText" priority="23" operator="containsText" text="Critical" id="{BF355680-7F8C-44C3-B1DE-AA3187A4925D}">
            <xm:f>NOT(ISERROR(SEARCH("Critical",'K:\Projects\HGGT0003 - HGGT IDP Update 2021-22\[20190414_HGGT_IDP_2019_Schedule.xlsx]Utilities'!#REF!)))</xm:f>
            <x14:dxf>
              <fill>
                <patternFill>
                  <bgColor rgb="FFFF0000"/>
                </patternFill>
              </fill>
            </x14:dxf>
          </x14:cfRule>
          <xm:sqref>D1</xm:sqref>
        </x14:conditionalFormatting>
        <x14:conditionalFormatting xmlns:xm="http://schemas.microsoft.com/office/excel/2006/main">
          <x14:cfRule type="containsText" priority="31" operator="containsText" text="20+" id="{B46922B5-69CD-4F7F-8D6B-8F33E9F753E9}">
            <xm:f>NOT(ISERROR(SEARCH("20+",'K:\Projects\HGGT0003 - HGGT IDP Update 2021-22\[20190414_HGGT_IDP_2019_Schedule.xlsx]Utilities'!#REF!)))</xm:f>
            <x14:dxf>
              <fill>
                <patternFill>
                  <bgColor theme="3" tint="0.59996337778862885"/>
                </patternFill>
              </fill>
            </x14:dxf>
          </x14:cfRule>
          <xm:sqref>G1 N1:AA1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4E60-4D93-4320-A1B1-8843A8839B16}">
  <sheetPr>
    <tabColor rgb="FFFFC000"/>
  </sheetPr>
  <dimension ref="A2:B7"/>
  <sheetViews>
    <sheetView view="pageBreakPreview" zoomScaleNormal="100" zoomScaleSheetLayoutView="100" workbookViewId="0">
      <selection activeCell="B7" sqref="B7"/>
    </sheetView>
  </sheetViews>
  <sheetFormatPr defaultRowHeight="14.5" x14ac:dyDescent="0.35"/>
  <cols>
    <col min="1" max="1" width="15.90625" customWidth="1"/>
    <col min="2" max="2" width="100.90625" customWidth="1"/>
  </cols>
  <sheetData>
    <row r="2" spans="1:2" x14ac:dyDescent="0.35">
      <c r="A2" s="75" t="s">
        <v>435</v>
      </c>
    </row>
    <row r="3" spans="1:2" x14ac:dyDescent="0.35">
      <c r="A3" s="75"/>
    </row>
    <row r="4" spans="1:2" x14ac:dyDescent="0.35">
      <c r="A4" s="554" t="s">
        <v>436</v>
      </c>
      <c r="B4" s="554" t="s">
        <v>437</v>
      </c>
    </row>
    <row r="5" spans="1:2" ht="58" x14ac:dyDescent="0.35">
      <c r="A5" s="318"/>
      <c r="B5" s="279" t="s">
        <v>438</v>
      </c>
    </row>
    <row r="6" spans="1:2" ht="58" x14ac:dyDescent="0.35">
      <c r="A6" s="319"/>
      <c r="B6" s="279" t="s">
        <v>439</v>
      </c>
    </row>
    <row r="7" spans="1:2" ht="87" x14ac:dyDescent="0.35">
      <c r="A7" s="553"/>
      <c r="B7" s="279" t="s">
        <v>440</v>
      </c>
    </row>
  </sheetData>
  <pageMargins left="0.7" right="0.7" top="0.75" bottom="0.75" header="0.3" footer="0.3"/>
  <pageSetup paperSize="9" scale="70"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2:B8"/>
  <sheetViews>
    <sheetView view="pageBreakPreview" zoomScaleNormal="100" zoomScaleSheetLayoutView="100" workbookViewId="0">
      <selection activeCell="A5" sqref="A5"/>
    </sheetView>
  </sheetViews>
  <sheetFormatPr defaultRowHeight="14.5" x14ac:dyDescent="0.35"/>
  <cols>
    <col min="1" max="1" width="15.90625" customWidth="1"/>
    <col min="2" max="2" width="100.90625" customWidth="1"/>
  </cols>
  <sheetData>
    <row r="2" spans="1:2" x14ac:dyDescent="0.35">
      <c r="A2" s="75" t="s">
        <v>435</v>
      </c>
    </row>
    <row r="3" spans="1:2" x14ac:dyDescent="0.35">
      <c r="A3" s="75"/>
    </row>
    <row r="4" spans="1:2" x14ac:dyDescent="0.35">
      <c r="A4" s="446" t="s">
        <v>436</v>
      </c>
      <c r="B4" s="446" t="s">
        <v>437</v>
      </c>
    </row>
    <row r="5" spans="1:2" ht="72.5" x14ac:dyDescent="0.35">
      <c r="A5" s="318" t="s">
        <v>441</v>
      </c>
      <c r="B5" s="279" t="s">
        <v>442</v>
      </c>
    </row>
    <row r="6" spans="1:2" ht="72.5" x14ac:dyDescent="0.35">
      <c r="A6" s="319" t="s">
        <v>443</v>
      </c>
      <c r="B6" s="279" t="s">
        <v>444</v>
      </c>
    </row>
    <row r="7" spans="1:2" ht="101.5" x14ac:dyDescent="0.35">
      <c r="A7" s="320" t="s">
        <v>297</v>
      </c>
      <c r="B7" s="279" t="s">
        <v>445</v>
      </c>
    </row>
    <row r="8" spans="1:2" ht="72.5" x14ac:dyDescent="0.35">
      <c r="A8" s="320" t="s">
        <v>446</v>
      </c>
      <c r="B8" s="279" t="s">
        <v>447</v>
      </c>
    </row>
  </sheetData>
  <pageMargins left="0.7" right="0.7" top="0.75" bottom="0.75" header="0.3" footer="0.3"/>
  <pageSetup paperSize="9" scale="70" orientation="portrait"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pageSetUpPr autoPageBreaks="0"/>
  </sheetPr>
  <dimension ref="A1:BN169"/>
  <sheetViews>
    <sheetView showGridLines="0" tabSelected="1" view="pageBreakPreview" zoomScale="50" zoomScaleNormal="60" zoomScaleSheetLayoutView="50" workbookViewId="0">
      <selection activeCell="B1" sqref="B1:AG1"/>
    </sheetView>
  </sheetViews>
  <sheetFormatPr defaultColWidth="8.90625" defaultRowHeight="16.5" x14ac:dyDescent="0.35"/>
  <cols>
    <col min="1" max="1" width="3.90625" style="757" customWidth="1"/>
    <col min="2" max="2" width="10.90625" style="761" customWidth="1"/>
    <col min="3" max="3" width="45.90625" style="761" customWidth="1"/>
    <col min="4" max="4" width="19.90625" style="761" customWidth="1"/>
    <col min="5" max="5" width="11.90625" style="793" customWidth="1"/>
    <col min="6" max="14" width="7.90625" style="793" customWidth="1"/>
    <col min="15" max="15" width="19.90625" style="793" customWidth="1"/>
    <col min="16" max="16" width="29.90625" style="761" customWidth="1"/>
    <col min="17" max="17" width="19.90625" style="793" customWidth="1"/>
    <col min="18" max="18" width="27.08984375" style="793" customWidth="1"/>
    <col min="19" max="19" width="29.90625" style="761" customWidth="1"/>
    <col min="20" max="20" width="19.90625" style="793" customWidth="1"/>
    <col min="21" max="21" width="29.90625" style="793" customWidth="1"/>
    <col min="22" max="22" width="19.90625" style="761" customWidth="1"/>
    <col min="23" max="24" width="19.90625" style="793" customWidth="1"/>
    <col min="25" max="25" width="39.54296875" style="793" customWidth="1"/>
    <col min="26" max="26" width="19.90625" style="761" customWidth="1"/>
    <col min="27" max="28" width="19.90625" style="793" customWidth="1"/>
    <col min="29" max="29" width="29.90625" style="793" customWidth="1"/>
    <col min="30" max="30" width="19.90625" style="761" customWidth="1"/>
    <col min="31" max="31" width="19.90625" style="793" customWidth="1"/>
    <col min="32" max="32" width="29.90625" style="761" customWidth="1"/>
    <col min="33" max="33" width="19.90625" style="761" customWidth="1"/>
    <col min="34" max="35" width="3.90625" style="758" customWidth="1"/>
    <col min="36" max="36" width="10.90625" style="761" customWidth="1"/>
    <col min="37" max="37" width="45.90625" style="761" customWidth="1"/>
    <col min="38" max="38" width="20.90625" style="761" customWidth="1"/>
    <col min="39" max="39" width="20.90625" style="1071" customWidth="1"/>
    <col min="40" max="58" width="20.90625" style="761" customWidth="1"/>
    <col min="59" max="59" width="20.90625" style="1071" customWidth="1"/>
    <col min="60" max="61" width="20.90625" style="761" customWidth="1"/>
    <col min="62" max="62" width="3.90625" style="758" customWidth="1"/>
    <col min="63" max="63" width="25.90625" style="761" customWidth="1"/>
    <col min="64" max="65" width="50.90625" style="761" customWidth="1"/>
    <col min="66" max="16384" width="8.90625" style="761"/>
  </cols>
  <sheetData>
    <row r="1" spans="1:66" ht="39.9" customHeight="1" x14ac:dyDescent="0.35">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1441"/>
      <c r="AJ1" s="1405" t="s">
        <v>448</v>
      </c>
      <c r="AK1" s="1406"/>
      <c r="AL1" s="1406"/>
      <c r="AM1" s="1406"/>
      <c r="AN1" s="1406"/>
      <c r="AO1" s="1406"/>
      <c r="AP1" s="1406"/>
      <c r="AQ1" s="1406"/>
      <c r="AR1" s="1406"/>
      <c r="AS1" s="1406"/>
      <c r="AT1" s="1406"/>
      <c r="AU1" s="1406"/>
      <c r="AV1" s="1406"/>
      <c r="AW1" s="1406"/>
      <c r="AX1" s="1406"/>
      <c r="AY1" s="1406"/>
      <c r="AZ1" s="1406"/>
      <c r="BA1" s="1406"/>
      <c r="BB1" s="1406"/>
      <c r="BC1" s="1406"/>
      <c r="BD1" s="1406"/>
      <c r="BE1" s="1406"/>
      <c r="BF1" s="1406"/>
      <c r="BG1" s="1406"/>
      <c r="BH1" s="1406"/>
      <c r="BI1" s="1407"/>
      <c r="BJ1" s="759"/>
      <c r="BK1" s="760"/>
      <c r="BL1" s="760"/>
      <c r="BM1" s="760"/>
      <c r="BN1" s="760"/>
    </row>
    <row r="2" spans="1:66" s="758" customFormat="1" ht="15" customHeight="1" thickBot="1" x14ac:dyDescent="0.4">
      <c r="B2" s="762" t="s">
        <v>449</v>
      </c>
      <c r="C2" s="762" t="s">
        <v>450</v>
      </c>
      <c r="D2" s="762" t="s">
        <v>451</v>
      </c>
      <c r="E2" s="762" t="s">
        <v>452</v>
      </c>
      <c r="F2" s="763"/>
      <c r="G2" s="764"/>
      <c r="H2" s="764"/>
      <c r="I2" s="764"/>
      <c r="J2" s="764" t="s">
        <v>453</v>
      </c>
      <c r="K2" s="764"/>
      <c r="L2" s="764"/>
      <c r="M2" s="764"/>
      <c r="N2" s="765"/>
      <c r="O2" s="762" t="s">
        <v>454</v>
      </c>
      <c r="P2" s="762" t="s">
        <v>455</v>
      </c>
      <c r="Q2" s="762" t="s">
        <v>456</v>
      </c>
      <c r="R2" s="762"/>
      <c r="S2" s="762" t="s">
        <v>457</v>
      </c>
      <c r="T2" s="762" t="s">
        <v>458</v>
      </c>
      <c r="U2" s="762" t="s">
        <v>459</v>
      </c>
      <c r="V2" s="762" t="s">
        <v>460</v>
      </c>
      <c r="W2" s="762" t="s">
        <v>461</v>
      </c>
      <c r="X2" s="762" t="s">
        <v>242</v>
      </c>
      <c r="Y2" s="762" t="s">
        <v>462</v>
      </c>
      <c r="Z2" s="762" t="s">
        <v>463</v>
      </c>
      <c r="AA2" s="762" t="s">
        <v>464</v>
      </c>
      <c r="AB2" s="762" t="s">
        <v>465</v>
      </c>
      <c r="AC2" s="762" t="s">
        <v>466</v>
      </c>
      <c r="AD2" s="762" t="s">
        <v>467</v>
      </c>
      <c r="AE2" s="762" t="s">
        <v>468</v>
      </c>
      <c r="AF2" s="762" t="s">
        <v>469</v>
      </c>
      <c r="AG2" s="762" t="s">
        <v>470</v>
      </c>
      <c r="AJ2" s="762" t="s">
        <v>449</v>
      </c>
      <c r="AK2" s="762" t="s">
        <v>450</v>
      </c>
      <c r="AL2" s="762" t="s">
        <v>471</v>
      </c>
      <c r="AM2" s="766" t="s">
        <v>472</v>
      </c>
      <c r="AN2" s="762" t="s">
        <v>473</v>
      </c>
      <c r="AO2" s="762" t="s">
        <v>474</v>
      </c>
      <c r="AP2" s="762" t="s">
        <v>475</v>
      </c>
      <c r="AQ2" s="762" t="s">
        <v>476</v>
      </c>
      <c r="AR2" s="762" t="s">
        <v>477</v>
      </c>
      <c r="AS2" s="762" t="s">
        <v>478</v>
      </c>
      <c r="AT2" s="762" t="s">
        <v>479</v>
      </c>
      <c r="AU2" s="762" t="s">
        <v>480</v>
      </c>
      <c r="AV2" s="762" t="s">
        <v>481</v>
      </c>
      <c r="AW2" s="762" t="s">
        <v>482</v>
      </c>
      <c r="AX2" s="762" t="s">
        <v>483</v>
      </c>
      <c r="AY2" s="762" t="s">
        <v>484</v>
      </c>
      <c r="AZ2" s="762" t="s">
        <v>485</v>
      </c>
      <c r="BA2" s="762" t="s">
        <v>486</v>
      </c>
      <c r="BB2" s="762" t="s">
        <v>487</v>
      </c>
      <c r="BC2" s="762" t="s">
        <v>488</v>
      </c>
      <c r="BD2" s="762" t="s">
        <v>489</v>
      </c>
      <c r="BE2" s="762" t="s">
        <v>490</v>
      </c>
      <c r="BF2" s="762" t="s">
        <v>491</v>
      </c>
      <c r="BG2" s="766" t="s">
        <v>492</v>
      </c>
      <c r="BH2" s="762" t="s">
        <v>493</v>
      </c>
      <c r="BI2" s="762" t="s">
        <v>494</v>
      </c>
    </row>
    <row r="3" spans="1:66" ht="99.9" customHeight="1" thickTop="1" x14ac:dyDescent="0.35">
      <c r="A3" s="767"/>
      <c r="B3" s="1392" t="s">
        <v>2231</v>
      </c>
      <c r="C3" s="768"/>
      <c r="D3" s="1385" t="s">
        <v>495</v>
      </c>
      <c r="E3" s="1394" t="s">
        <v>496</v>
      </c>
      <c r="F3" s="1396" t="s">
        <v>219</v>
      </c>
      <c r="G3" s="1396"/>
      <c r="H3" s="1396"/>
      <c r="I3" s="1396"/>
      <c r="J3" s="1396"/>
      <c r="K3" s="1396"/>
      <c r="L3" s="1396"/>
      <c r="M3" s="1396"/>
      <c r="N3" s="1396"/>
      <c r="O3" s="1385" t="s">
        <v>214</v>
      </c>
      <c r="P3" s="1400" t="s">
        <v>497</v>
      </c>
      <c r="Q3" s="1385" t="s">
        <v>2232</v>
      </c>
      <c r="R3" s="1321" t="s">
        <v>2233</v>
      </c>
      <c r="S3" s="1391" t="s">
        <v>499</v>
      </c>
      <c r="T3" s="1390" t="s">
        <v>2</v>
      </c>
      <c r="U3" s="1391" t="s">
        <v>500</v>
      </c>
      <c r="V3" s="1388" t="s">
        <v>501</v>
      </c>
      <c r="W3" s="1384" t="s">
        <v>2226</v>
      </c>
      <c r="X3" s="1387" t="s">
        <v>503</v>
      </c>
      <c r="Y3" s="1385" t="s">
        <v>504</v>
      </c>
      <c r="Z3" s="1388" t="s">
        <v>505</v>
      </c>
      <c r="AA3" s="1384" t="s">
        <v>506</v>
      </c>
      <c r="AB3" s="1387" t="s">
        <v>507</v>
      </c>
      <c r="AC3" s="1385" t="s">
        <v>504</v>
      </c>
      <c r="AD3" s="1388" t="s">
        <v>505</v>
      </c>
      <c r="AE3" s="1384" t="s">
        <v>508</v>
      </c>
      <c r="AF3" s="1385" t="s">
        <v>509</v>
      </c>
      <c r="AG3" s="1386" t="s">
        <v>510</v>
      </c>
      <c r="AH3" s="769"/>
      <c r="AI3" s="770"/>
      <c r="AJ3" s="1389" t="s">
        <v>2231</v>
      </c>
      <c r="AK3" s="771"/>
      <c r="AL3" s="772" t="s">
        <v>2234</v>
      </c>
      <c r="AM3" s="773" t="s">
        <v>2235</v>
      </c>
      <c r="AN3" s="773" t="s">
        <v>2236</v>
      </c>
      <c r="AO3" s="773" t="s">
        <v>2237</v>
      </c>
      <c r="AP3" s="773" t="s">
        <v>2238</v>
      </c>
      <c r="AQ3" s="773" t="s">
        <v>2239</v>
      </c>
      <c r="AR3" s="774" t="s">
        <v>2240</v>
      </c>
      <c r="AS3" s="775" t="s">
        <v>2241</v>
      </c>
      <c r="AT3" s="773" t="s">
        <v>2242</v>
      </c>
      <c r="AU3" s="773" t="s">
        <v>2243</v>
      </c>
      <c r="AV3" s="773" t="s">
        <v>2244</v>
      </c>
      <c r="AW3" s="773" t="s">
        <v>2245</v>
      </c>
      <c r="AX3" s="773" t="s">
        <v>2246</v>
      </c>
      <c r="AY3" s="773" t="s">
        <v>2247</v>
      </c>
      <c r="AZ3" s="773" t="s">
        <v>2248</v>
      </c>
      <c r="BA3" s="773" t="s">
        <v>2249</v>
      </c>
      <c r="BB3" s="773" t="s">
        <v>2250</v>
      </c>
      <c r="BC3" s="773" t="s">
        <v>2251</v>
      </c>
      <c r="BD3" s="773" t="s">
        <v>2252</v>
      </c>
      <c r="BE3" s="773" t="s">
        <v>2253</v>
      </c>
      <c r="BF3" s="774" t="s">
        <v>2254</v>
      </c>
      <c r="BG3" s="775" t="s">
        <v>2255</v>
      </c>
      <c r="BH3" s="1398" t="s">
        <v>41</v>
      </c>
      <c r="BI3" s="1382" t="s">
        <v>42</v>
      </c>
      <c r="BJ3" s="776"/>
      <c r="BK3" s="777"/>
      <c r="BL3" s="778"/>
      <c r="BM3" s="778"/>
    </row>
    <row r="4" spans="1:66" s="793" customFormat="1" ht="101.4" customHeight="1" x14ac:dyDescent="0.35">
      <c r="A4" s="779"/>
      <c r="B4" s="1393"/>
      <c r="C4" s="780" t="s">
        <v>511</v>
      </c>
      <c r="D4" s="1286"/>
      <c r="E4" s="1395"/>
      <c r="F4" s="333" t="s">
        <v>512</v>
      </c>
      <c r="G4" s="333" t="s">
        <v>513</v>
      </c>
      <c r="H4" s="333" t="s">
        <v>514</v>
      </c>
      <c r="I4" s="333" t="s">
        <v>515</v>
      </c>
      <c r="J4" s="333" t="s">
        <v>516</v>
      </c>
      <c r="K4" s="333" t="s">
        <v>517</v>
      </c>
      <c r="L4" s="333" t="s">
        <v>518</v>
      </c>
      <c r="M4" s="333" t="s">
        <v>519</v>
      </c>
      <c r="N4" s="333" t="s">
        <v>520</v>
      </c>
      <c r="O4" s="1397"/>
      <c r="P4" s="1401"/>
      <c r="Q4" s="1286"/>
      <c r="R4" s="1322"/>
      <c r="S4" s="1241"/>
      <c r="T4" s="1320"/>
      <c r="U4" s="1241"/>
      <c r="V4" s="1288"/>
      <c r="W4" s="1290"/>
      <c r="X4" s="1284"/>
      <c r="Y4" s="1286"/>
      <c r="Z4" s="1288"/>
      <c r="AA4" s="1290"/>
      <c r="AB4" s="1284"/>
      <c r="AC4" s="1286"/>
      <c r="AD4" s="1288"/>
      <c r="AE4" s="1290"/>
      <c r="AF4" s="1286"/>
      <c r="AG4" s="1274"/>
      <c r="AH4" s="781"/>
      <c r="AI4" s="782"/>
      <c r="AJ4" s="1299"/>
      <c r="AK4" s="783" t="s">
        <v>511</v>
      </c>
      <c r="AL4" s="784">
        <v>8500</v>
      </c>
      <c r="AM4" s="785">
        <v>1500</v>
      </c>
      <c r="AN4" s="785">
        <v>2600</v>
      </c>
      <c r="AO4" s="786">
        <v>750</v>
      </c>
      <c r="AP4" s="786" t="s">
        <v>48</v>
      </c>
      <c r="AQ4" s="785">
        <v>2100</v>
      </c>
      <c r="AR4" s="787">
        <v>1050</v>
      </c>
      <c r="AS4" s="788">
        <v>550</v>
      </c>
      <c r="AT4" s="786">
        <v>70</v>
      </c>
      <c r="AU4" s="786">
        <v>30</v>
      </c>
      <c r="AV4" s="786">
        <v>35</v>
      </c>
      <c r="AW4" s="786">
        <v>35</v>
      </c>
      <c r="AX4" s="786">
        <v>20</v>
      </c>
      <c r="AY4" s="786">
        <v>16</v>
      </c>
      <c r="AZ4" s="786">
        <v>15</v>
      </c>
      <c r="BA4" s="786">
        <v>13</v>
      </c>
      <c r="BB4" s="786">
        <v>10</v>
      </c>
      <c r="BC4" s="786">
        <v>10</v>
      </c>
      <c r="BD4" s="786">
        <v>10</v>
      </c>
      <c r="BE4" s="786">
        <v>10</v>
      </c>
      <c r="BF4" s="789">
        <v>10</v>
      </c>
      <c r="BG4" s="790">
        <v>2120</v>
      </c>
      <c r="BH4" s="1399"/>
      <c r="BI4" s="1383"/>
      <c r="BJ4" s="776"/>
      <c r="BK4" s="791"/>
      <c r="BL4" s="792"/>
      <c r="BM4" s="792"/>
    </row>
    <row r="5" spans="1:66" ht="17.25" customHeight="1" x14ac:dyDescent="0.35">
      <c r="A5" s="794"/>
      <c r="B5" s="795"/>
      <c r="C5" s="796" t="s">
        <v>521</v>
      </c>
      <c r="D5" s="302"/>
      <c r="E5" s="303"/>
      <c r="F5" s="303"/>
      <c r="G5" s="303"/>
      <c r="H5" s="303"/>
      <c r="I5" s="303"/>
      <c r="J5" s="303"/>
      <c r="K5" s="303"/>
      <c r="L5" s="303"/>
      <c r="M5" s="303"/>
      <c r="N5" s="307"/>
      <c r="O5" s="303"/>
      <c r="P5" s="302"/>
      <c r="Q5" s="305"/>
      <c r="R5" s="305"/>
      <c r="S5" s="306"/>
      <c r="T5" s="305"/>
      <c r="U5" s="305"/>
      <c r="V5" s="560"/>
      <c r="W5" s="584"/>
      <c r="X5" s="305"/>
      <c r="Y5" s="307"/>
      <c r="Z5" s="560"/>
      <c r="AA5" s="584"/>
      <c r="AB5" s="305"/>
      <c r="AC5" s="307"/>
      <c r="AD5" s="560"/>
      <c r="AE5" s="584"/>
      <c r="AF5" s="302"/>
      <c r="AG5" s="797"/>
      <c r="AH5" s="798"/>
      <c r="AI5" s="799"/>
      <c r="AJ5" s="800"/>
      <c r="AK5" s="801" t="s">
        <v>521</v>
      </c>
      <c r="AL5" s="802"/>
      <c r="AM5" s="803"/>
      <c r="AN5" s="804"/>
      <c r="AO5" s="803"/>
      <c r="AP5" s="803"/>
      <c r="AQ5" s="803"/>
      <c r="AR5" s="804"/>
      <c r="AS5" s="805"/>
      <c r="AT5" s="803"/>
      <c r="AU5" s="803"/>
      <c r="AV5" s="803"/>
      <c r="AW5" s="803"/>
      <c r="AX5" s="803"/>
      <c r="AY5" s="803"/>
      <c r="AZ5" s="803"/>
      <c r="BA5" s="803"/>
      <c r="BB5" s="803"/>
      <c r="BC5" s="803"/>
      <c r="BD5" s="803"/>
      <c r="BE5" s="803"/>
      <c r="BF5" s="804"/>
      <c r="BG5" s="805"/>
      <c r="BH5" s="302"/>
      <c r="BI5" s="570"/>
      <c r="BK5" s="806"/>
      <c r="BL5" s="807"/>
    </row>
    <row r="6" spans="1:66" ht="125.15" customHeight="1" x14ac:dyDescent="0.35">
      <c r="A6" s="1443">
        <v>1</v>
      </c>
      <c r="B6" s="1418" t="s">
        <v>522</v>
      </c>
      <c r="C6" s="1420" t="s">
        <v>523</v>
      </c>
      <c r="D6" s="1422"/>
      <c r="E6" s="1374" t="s">
        <v>524</v>
      </c>
      <c r="F6" s="808"/>
      <c r="G6" s="809"/>
      <c r="H6" s="809"/>
      <c r="I6" s="809"/>
      <c r="J6" s="810"/>
      <c r="K6" s="809"/>
      <c r="L6" s="809"/>
      <c r="M6" s="809"/>
      <c r="N6" s="811"/>
      <c r="O6" s="1422" t="s">
        <v>525</v>
      </c>
      <c r="P6" s="1422" t="s">
        <v>526</v>
      </c>
      <c r="Q6" s="324" t="s">
        <v>527</v>
      </c>
      <c r="R6" s="324"/>
      <c r="S6" s="1424" t="s">
        <v>528</v>
      </c>
      <c r="T6" s="324"/>
      <c r="U6" s="1424"/>
      <c r="V6" s="1426"/>
      <c r="W6" s="556"/>
      <c r="X6" s="569" t="s">
        <v>527</v>
      </c>
      <c r="Y6" s="1424" t="s">
        <v>528</v>
      </c>
      <c r="Z6" s="1426"/>
      <c r="AA6" s="556"/>
      <c r="AB6" s="569" t="s">
        <v>527</v>
      </c>
      <c r="AC6" s="1424"/>
      <c r="AD6" s="1426"/>
      <c r="AE6" s="556"/>
      <c r="AF6" s="1424"/>
      <c r="AG6" s="812"/>
      <c r="AH6" s="1309">
        <v>1</v>
      </c>
      <c r="AI6" s="1275">
        <v>1</v>
      </c>
      <c r="AJ6" s="1430" t="s">
        <v>522</v>
      </c>
      <c r="AK6" s="1428" t="s">
        <v>523</v>
      </c>
      <c r="AL6" s="695" t="s">
        <v>527</v>
      </c>
      <c r="AM6" s="569" t="s">
        <v>527</v>
      </c>
      <c r="AN6" s="569" t="s">
        <v>527</v>
      </c>
      <c r="AO6" s="569" t="s">
        <v>527</v>
      </c>
      <c r="AP6" s="569" t="s">
        <v>527</v>
      </c>
      <c r="AQ6" s="569" t="s">
        <v>527</v>
      </c>
      <c r="AR6" s="643" t="s">
        <v>527</v>
      </c>
      <c r="AS6" s="589" t="s">
        <v>527</v>
      </c>
      <c r="AT6" s="569" t="s">
        <v>527</v>
      </c>
      <c r="AU6" s="569" t="s">
        <v>527</v>
      </c>
      <c r="AV6" s="569" t="s">
        <v>527</v>
      </c>
      <c r="AW6" s="569" t="s">
        <v>527</v>
      </c>
      <c r="AX6" s="569" t="s">
        <v>527</v>
      </c>
      <c r="AY6" s="569" t="s">
        <v>527</v>
      </c>
      <c r="AZ6" s="569" t="s">
        <v>527</v>
      </c>
      <c r="BA6" s="569" t="s">
        <v>527</v>
      </c>
      <c r="BB6" s="569" t="s">
        <v>527</v>
      </c>
      <c r="BC6" s="569" t="s">
        <v>527</v>
      </c>
      <c r="BD6" s="569" t="s">
        <v>527</v>
      </c>
      <c r="BE6" s="569" t="s">
        <v>527</v>
      </c>
      <c r="BF6" s="643" t="s">
        <v>527</v>
      </c>
      <c r="BG6" s="589" t="s">
        <v>527</v>
      </c>
      <c r="BH6" s="569" t="s">
        <v>527</v>
      </c>
      <c r="BI6" s="815"/>
      <c r="BJ6" s="1432">
        <v>1</v>
      </c>
      <c r="BK6" s="1414"/>
      <c r="BL6" s="1316"/>
    </row>
    <row r="7" spans="1:66" ht="125.15" customHeight="1" x14ac:dyDescent="0.35">
      <c r="A7" s="1444"/>
      <c r="B7" s="1419"/>
      <c r="C7" s="1421"/>
      <c r="D7" s="1423"/>
      <c r="E7" s="1373"/>
      <c r="F7" s="1415"/>
      <c r="G7" s="1416"/>
      <c r="H7" s="1416"/>
      <c r="I7" s="1416"/>
      <c r="J7" s="1416"/>
      <c r="K7" s="1416"/>
      <c r="L7" s="1416"/>
      <c r="M7" s="1416"/>
      <c r="N7" s="1417"/>
      <c r="O7" s="1423"/>
      <c r="P7" s="1423"/>
      <c r="Q7" s="456"/>
      <c r="R7" s="456"/>
      <c r="S7" s="1425"/>
      <c r="T7" s="326"/>
      <c r="U7" s="1425"/>
      <c r="V7" s="1427"/>
      <c r="W7" s="557"/>
      <c r="X7" s="564"/>
      <c r="Y7" s="1425"/>
      <c r="Z7" s="1427"/>
      <c r="AA7" s="562"/>
      <c r="AB7" s="564"/>
      <c r="AC7" s="1425"/>
      <c r="AD7" s="1427"/>
      <c r="AE7" s="562"/>
      <c r="AF7" s="1425"/>
      <c r="AG7" s="812"/>
      <c r="AH7" s="1310"/>
      <c r="AI7" s="1276"/>
      <c r="AJ7" s="1431"/>
      <c r="AK7" s="1429"/>
      <c r="AL7" s="696"/>
      <c r="AM7" s="564"/>
      <c r="AN7" s="564"/>
      <c r="AO7" s="564"/>
      <c r="AP7" s="564"/>
      <c r="AQ7" s="564"/>
      <c r="AR7" s="697"/>
      <c r="AS7" s="585"/>
      <c r="AT7" s="663"/>
      <c r="AU7" s="663"/>
      <c r="AV7" s="663"/>
      <c r="AW7" s="663"/>
      <c r="AX7" s="663"/>
      <c r="AY7" s="663"/>
      <c r="AZ7" s="663"/>
      <c r="BA7" s="663"/>
      <c r="BB7" s="663"/>
      <c r="BC7" s="663"/>
      <c r="BD7" s="663"/>
      <c r="BE7" s="663"/>
      <c r="BF7" s="711"/>
      <c r="BG7" s="585"/>
      <c r="BH7" s="663"/>
      <c r="BI7" s="817"/>
      <c r="BJ7" s="1433"/>
      <c r="BK7" s="1414"/>
      <c r="BL7" s="1317"/>
    </row>
    <row r="8" spans="1:66" ht="17.25" customHeight="1" x14ac:dyDescent="0.35">
      <c r="A8" s="818"/>
      <c r="B8" s="795"/>
      <c r="C8" s="819" t="s">
        <v>529</v>
      </c>
      <c r="D8" s="302"/>
      <c r="E8" s="303"/>
      <c r="F8" s="303"/>
      <c r="G8" s="303"/>
      <c r="H8" s="303"/>
      <c r="I8" s="303"/>
      <c r="J8" s="303"/>
      <c r="K8" s="303"/>
      <c r="L8" s="303"/>
      <c r="M8" s="303"/>
      <c r="N8" s="307"/>
      <c r="O8" s="303"/>
      <c r="P8" s="302"/>
      <c r="Q8" s="305"/>
      <c r="R8" s="305"/>
      <c r="S8" s="306"/>
      <c r="T8" s="305"/>
      <c r="U8" s="305"/>
      <c r="V8" s="560"/>
      <c r="W8" s="584"/>
      <c r="X8" s="305"/>
      <c r="Y8" s="307"/>
      <c r="Z8" s="560"/>
      <c r="AA8" s="584"/>
      <c r="AB8" s="305"/>
      <c r="AC8" s="307"/>
      <c r="AD8" s="560"/>
      <c r="AE8" s="584"/>
      <c r="AF8" s="302"/>
      <c r="AG8" s="820"/>
      <c r="AH8" s="821"/>
      <c r="AI8" s="821"/>
      <c r="AJ8" s="800"/>
      <c r="AK8" s="822" t="s">
        <v>529</v>
      </c>
      <c r="AL8" s="802"/>
      <c r="AM8" s="803"/>
      <c r="AN8" s="804"/>
      <c r="AO8" s="803"/>
      <c r="AP8" s="803"/>
      <c r="AQ8" s="803"/>
      <c r="AR8" s="804"/>
      <c r="AS8" s="805"/>
      <c r="AT8" s="803"/>
      <c r="AU8" s="803"/>
      <c r="AV8" s="803"/>
      <c r="AW8" s="803"/>
      <c r="AX8" s="803"/>
      <c r="AY8" s="803"/>
      <c r="AZ8" s="803"/>
      <c r="BA8" s="803"/>
      <c r="BB8" s="803"/>
      <c r="BC8" s="803"/>
      <c r="BD8" s="803"/>
      <c r="BE8" s="803"/>
      <c r="BF8" s="804"/>
      <c r="BG8" s="805"/>
      <c r="BH8" s="302"/>
      <c r="BI8" s="570"/>
      <c r="BJ8" s="821"/>
      <c r="BK8" s="823"/>
      <c r="BL8" s="807"/>
      <c r="BM8" s="807"/>
    </row>
    <row r="9" spans="1:66" ht="122.4" customHeight="1" x14ac:dyDescent="0.35">
      <c r="A9" s="1443">
        <v>2</v>
      </c>
      <c r="B9" s="1358" t="s">
        <v>530</v>
      </c>
      <c r="C9" s="1281" t="s">
        <v>531</v>
      </c>
      <c r="D9" s="1281" t="s">
        <v>532</v>
      </c>
      <c r="E9" s="1360" t="s">
        <v>533</v>
      </c>
      <c r="F9" s="824"/>
      <c r="G9" s="825" t="s">
        <v>534</v>
      </c>
      <c r="H9" s="826"/>
      <c r="I9" s="826"/>
      <c r="J9" s="827"/>
      <c r="K9" s="826"/>
      <c r="L9" s="826"/>
      <c r="M9" s="826"/>
      <c r="N9" s="828"/>
      <c r="O9" s="1281" t="s">
        <v>535</v>
      </c>
      <c r="P9" s="1281" t="s">
        <v>536</v>
      </c>
      <c r="Q9" s="330" t="s">
        <v>537</v>
      </c>
      <c r="R9" s="330"/>
      <c r="S9" s="1268" t="s">
        <v>538</v>
      </c>
      <c r="T9" s="829"/>
      <c r="U9" s="1268" t="s">
        <v>2219</v>
      </c>
      <c r="V9" s="1279" t="s">
        <v>539</v>
      </c>
      <c r="W9" s="830"/>
      <c r="X9" s="727" t="s">
        <v>2179</v>
      </c>
      <c r="Y9" s="1268" t="s">
        <v>2180</v>
      </c>
      <c r="Z9" s="1279" t="s">
        <v>540</v>
      </c>
      <c r="AA9" s="830"/>
      <c r="AB9" s="727" t="s">
        <v>2181</v>
      </c>
      <c r="AC9" s="1268" t="s">
        <v>2182</v>
      </c>
      <c r="AD9" s="1279" t="s">
        <v>540</v>
      </c>
      <c r="AE9" s="830"/>
      <c r="AF9" s="1268" t="s">
        <v>2220</v>
      </c>
      <c r="AG9" s="831"/>
      <c r="AH9" s="1309">
        <v>2</v>
      </c>
      <c r="AI9" s="1275">
        <v>2</v>
      </c>
      <c r="AJ9" s="1271" t="s">
        <v>541</v>
      </c>
      <c r="AK9" s="1293" t="s">
        <v>529</v>
      </c>
      <c r="AL9" s="726"/>
      <c r="AM9" s="727"/>
      <c r="AN9" s="727" t="s">
        <v>2178</v>
      </c>
      <c r="AO9" s="727" t="s">
        <v>2178</v>
      </c>
      <c r="AP9" s="832"/>
      <c r="AQ9" s="727" t="s">
        <v>2178</v>
      </c>
      <c r="AR9" s="727" t="s">
        <v>2178</v>
      </c>
      <c r="AS9" s="726" t="s">
        <v>2177</v>
      </c>
      <c r="AT9" s="727" t="s">
        <v>2177</v>
      </c>
      <c r="AU9" s="727" t="s">
        <v>2177</v>
      </c>
      <c r="AV9" s="727" t="s">
        <v>2177</v>
      </c>
      <c r="AW9" s="727" t="s">
        <v>2177</v>
      </c>
      <c r="AX9" s="727" t="s">
        <v>2177</v>
      </c>
      <c r="AY9" s="727" t="s">
        <v>2177</v>
      </c>
      <c r="AZ9" s="727" t="s">
        <v>2177</v>
      </c>
      <c r="BA9" s="727" t="s">
        <v>2177</v>
      </c>
      <c r="BB9" s="727" t="s">
        <v>2177</v>
      </c>
      <c r="BC9" s="727" t="s">
        <v>2177</v>
      </c>
      <c r="BD9" s="727" t="s">
        <v>2177</v>
      </c>
      <c r="BE9" s="727" t="s">
        <v>2177</v>
      </c>
      <c r="BF9" s="833" t="s">
        <v>2177</v>
      </c>
      <c r="BG9" s="834" t="s">
        <v>2177</v>
      </c>
      <c r="BH9" s="727" t="s">
        <v>542</v>
      </c>
      <c r="BI9" s="624"/>
      <c r="BJ9" s="1432">
        <v>2</v>
      </c>
      <c r="BK9" s="823"/>
      <c r="BL9" s="1316"/>
      <c r="BM9" s="1323"/>
    </row>
    <row r="10" spans="1:66" ht="117.75" customHeight="1" x14ac:dyDescent="0.35">
      <c r="A10" s="1444"/>
      <c r="B10" s="1359"/>
      <c r="C10" s="1282"/>
      <c r="D10" s="1282"/>
      <c r="E10" s="1361"/>
      <c r="F10" s="1313" t="s">
        <v>543</v>
      </c>
      <c r="G10" s="1314"/>
      <c r="H10" s="1314"/>
      <c r="I10" s="1314"/>
      <c r="J10" s="1314"/>
      <c r="K10" s="1314"/>
      <c r="L10" s="1314"/>
      <c r="M10" s="1314"/>
      <c r="N10" s="1315"/>
      <c r="O10" s="1282"/>
      <c r="P10" s="1282"/>
      <c r="Q10" s="456">
        <f>Indexation!J6</f>
        <v>15400000</v>
      </c>
      <c r="R10" s="456">
        <v>17779399</v>
      </c>
      <c r="S10" s="1270"/>
      <c r="T10" s="835">
        <f>15400000+42100000+290000</f>
        <v>57790000</v>
      </c>
      <c r="U10" s="1269"/>
      <c r="V10" s="1280"/>
      <c r="W10" s="662">
        <f>(Q10+Q12+Q14+Q16+Q18+Q20+Q22+Q24)-T10</f>
        <v>116275000</v>
      </c>
      <c r="X10" s="664">
        <f>SUM(AL10:BF10)</f>
        <v>85937730.646653622</v>
      </c>
      <c r="Y10" s="1269"/>
      <c r="Z10" s="1280"/>
      <c r="AA10" s="669">
        <f>W10-X10</f>
        <v>30337269.353346378</v>
      </c>
      <c r="AB10" s="836">
        <f>BG10</f>
        <v>12671070.216921974</v>
      </c>
      <c r="AC10" s="1435"/>
      <c r="AD10" s="1280"/>
      <c r="AE10" s="662">
        <f>AA10-AB10</f>
        <v>17666199.136424404</v>
      </c>
      <c r="AF10" s="1269"/>
      <c r="AG10" s="736"/>
      <c r="AH10" s="1310"/>
      <c r="AI10" s="1277"/>
      <c r="AJ10" s="1296"/>
      <c r="AK10" s="1294"/>
      <c r="AL10" s="837">
        <v>35788000</v>
      </c>
      <c r="AM10" s="837">
        <v>6315000</v>
      </c>
      <c r="AN10" s="837">
        <f>AN4*5976.91991364244</f>
        <v>15539991.775470344</v>
      </c>
      <c r="AO10" s="837">
        <f>AO4*5976.91991364244</f>
        <v>4482689.93523183</v>
      </c>
      <c r="AP10" s="838"/>
      <c r="AQ10" s="837">
        <f t="shared" ref="AQ10:BG10" si="0">AQ4*5976.91991364244</f>
        <v>12551531.818649124</v>
      </c>
      <c r="AR10" s="839">
        <f t="shared" si="0"/>
        <v>6275765.9093245622</v>
      </c>
      <c r="AS10" s="837">
        <f t="shared" si="0"/>
        <v>3287305.9525033422</v>
      </c>
      <c r="AT10" s="837">
        <f t="shared" si="0"/>
        <v>418384.39395497082</v>
      </c>
      <c r="AU10" s="837">
        <f t="shared" si="0"/>
        <v>179307.59740927321</v>
      </c>
      <c r="AV10" s="837">
        <f t="shared" si="0"/>
        <v>209192.19697748541</v>
      </c>
      <c r="AW10" s="837">
        <f t="shared" si="0"/>
        <v>209192.19697748541</v>
      </c>
      <c r="AX10" s="837">
        <f t="shared" si="0"/>
        <v>119538.3982728488</v>
      </c>
      <c r="AY10" s="837">
        <f t="shared" si="0"/>
        <v>95630.718618279046</v>
      </c>
      <c r="AZ10" s="837">
        <f t="shared" si="0"/>
        <v>89653.798704636603</v>
      </c>
      <c r="BA10" s="837">
        <f t="shared" si="0"/>
        <v>77699.958877351732</v>
      </c>
      <c r="BB10" s="837">
        <f t="shared" si="0"/>
        <v>59769.199136424402</v>
      </c>
      <c r="BC10" s="837">
        <f t="shared" si="0"/>
        <v>59769.199136424402</v>
      </c>
      <c r="BD10" s="837">
        <f t="shared" si="0"/>
        <v>59769.199136424402</v>
      </c>
      <c r="BE10" s="837">
        <f t="shared" si="0"/>
        <v>59769.199136424402</v>
      </c>
      <c r="BF10" s="840">
        <f t="shared" si="0"/>
        <v>59769.199136424402</v>
      </c>
      <c r="BG10" s="841">
        <f t="shared" si="0"/>
        <v>12671070.216921974</v>
      </c>
      <c r="BH10" s="837">
        <f>BH4*5976.91991364244</f>
        <v>0</v>
      </c>
      <c r="BI10" s="842"/>
      <c r="BJ10" s="1449"/>
      <c r="BK10" s="823"/>
      <c r="BL10" s="1325"/>
      <c r="BM10" s="1409"/>
    </row>
    <row r="11" spans="1:66" ht="99.9" customHeight="1" x14ac:dyDescent="0.35">
      <c r="A11" s="1443">
        <v>3</v>
      </c>
      <c r="B11" s="1358" t="s">
        <v>544</v>
      </c>
      <c r="C11" s="1281" t="s">
        <v>545</v>
      </c>
      <c r="D11" s="1281" t="s">
        <v>546</v>
      </c>
      <c r="E11" s="1360" t="s">
        <v>533</v>
      </c>
      <c r="F11" s="843"/>
      <c r="G11" s="825" t="s">
        <v>547</v>
      </c>
      <c r="H11" s="826"/>
      <c r="I11" s="826"/>
      <c r="J11" s="826"/>
      <c r="K11" s="826"/>
      <c r="L11" s="826"/>
      <c r="M11" s="826"/>
      <c r="N11" s="828"/>
      <c r="O11" s="1281" t="s">
        <v>235</v>
      </c>
      <c r="P11" s="1281" t="s">
        <v>548</v>
      </c>
      <c r="Q11" s="324" t="s">
        <v>549</v>
      </c>
      <c r="R11" s="324" t="s">
        <v>2186</v>
      </c>
      <c r="S11" s="1268" t="s">
        <v>550</v>
      </c>
      <c r="T11" s="567"/>
      <c r="U11" s="1269"/>
      <c r="V11" s="558"/>
      <c r="W11" s="657"/>
      <c r="X11" s="1434"/>
      <c r="Y11" s="1269"/>
      <c r="Z11" s="558"/>
      <c r="AA11" s="667"/>
      <c r="AB11" s="1434"/>
      <c r="AC11" s="666"/>
      <c r="AD11" s="558"/>
      <c r="AE11" s="657"/>
      <c r="AF11" s="1269"/>
      <c r="AG11" s="1448" t="s">
        <v>2212</v>
      </c>
      <c r="AH11" s="1309">
        <v>3</v>
      </c>
      <c r="AI11" s="1277"/>
      <c r="AJ11" s="1296"/>
      <c r="AK11" s="1294"/>
      <c r="AL11" s="844"/>
      <c r="AM11" s="692"/>
      <c r="AN11" s="1450" t="s">
        <v>551</v>
      </c>
      <c r="AO11" s="1450" t="s">
        <v>551</v>
      </c>
      <c r="AP11" s="845"/>
      <c r="AQ11" s="1450" t="s">
        <v>551</v>
      </c>
      <c r="AR11" s="1450" t="s">
        <v>551</v>
      </c>
      <c r="AS11" s="846"/>
      <c r="AT11" s="847"/>
      <c r="AU11" s="847"/>
      <c r="AV11" s="847"/>
      <c r="AW11" s="847"/>
      <c r="AX11" s="847"/>
      <c r="AY11" s="847"/>
      <c r="AZ11" s="847"/>
      <c r="BA11" s="847"/>
      <c r="BB11" s="847"/>
      <c r="BC11" s="847"/>
      <c r="BD11" s="847"/>
      <c r="BE11" s="847"/>
      <c r="BF11" s="848"/>
      <c r="BG11" s="849"/>
      <c r="BH11" s="850"/>
      <c r="BI11" s="842"/>
      <c r="BJ11" s="1449"/>
      <c r="BK11" s="823"/>
      <c r="BL11" s="1325"/>
      <c r="BM11" s="1409"/>
    </row>
    <row r="12" spans="1:66" ht="99.9" customHeight="1" x14ac:dyDescent="0.35">
      <c r="A12" s="1444"/>
      <c r="B12" s="1359"/>
      <c r="C12" s="1282"/>
      <c r="D12" s="1282"/>
      <c r="E12" s="1361"/>
      <c r="F12" s="1313" t="s">
        <v>552</v>
      </c>
      <c r="G12" s="1314"/>
      <c r="H12" s="1314"/>
      <c r="I12" s="1314"/>
      <c r="J12" s="1314"/>
      <c r="K12" s="1314"/>
      <c r="L12" s="1314"/>
      <c r="M12" s="1314"/>
      <c r="N12" s="1315"/>
      <c r="O12" s="1282"/>
      <c r="P12" s="1282"/>
      <c r="Q12" s="456">
        <f>Indexation!J7</f>
        <v>38075000</v>
      </c>
      <c r="R12" s="456"/>
      <c r="S12" s="1270"/>
      <c r="T12" s="567"/>
      <c r="U12" s="449"/>
      <c r="V12" s="558"/>
      <c r="W12" s="657"/>
      <c r="X12" s="1434"/>
      <c r="Y12" s="1269"/>
      <c r="Z12" s="558"/>
      <c r="AA12" s="667"/>
      <c r="AB12" s="1434"/>
      <c r="AC12" s="666"/>
      <c r="AD12" s="558"/>
      <c r="AE12" s="657"/>
      <c r="AF12" s="1269"/>
      <c r="AG12" s="1448"/>
      <c r="AH12" s="1310"/>
      <c r="AI12" s="1277"/>
      <c r="AJ12" s="1296"/>
      <c r="AK12" s="1294"/>
      <c r="AL12" s="844"/>
      <c r="AM12" s="692"/>
      <c r="AN12" s="1450"/>
      <c r="AO12" s="1450"/>
      <c r="AP12" s="845"/>
      <c r="AQ12" s="1450"/>
      <c r="AR12" s="1450"/>
      <c r="AS12" s="846"/>
      <c r="AT12" s="847"/>
      <c r="AU12" s="847"/>
      <c r="AV12" s="847"/>
      <c r="AW12" s="847"/>
      <c r="AX12" s="847"/>
      <c r="AY12" s="847"/>
      <c r="AZ12" s="847"/>
      <c r="BA12" s="847"/>
      <c r="BB12" s="847"/>
      <c r="BC12" s="847"/>
      <c r="BD12" s="847"/>
      <c r="BE12" s="847"/>
      <c r="BF12" s="848"/>
      <c r="BG12" s="849"/>
      <c r="BH12" s="850"/>
      <c r="BI12" s="842"/>
      <c r="BJ12" s="1449"/>
      <c r="BK12" s="823"/>
      <c r="BL12" s="1325"/>
      <c r="BM12" s="1409"/>
    </row>
    <row r="13" spans="1:66" ht="129" customHeight="1" x14ac:dyDescent="0.35">
      <c r="A13" s="1443">
        <v>4</v>
      </c>
      <c r="B13" s="1358" t="s">
        <v>553</v>
      </c>
      <c r="C13" s="1281" t="s">
        <v>554</v>
      </c>
      <c r="D13" s="1281" t="s">
        <v>555</v>
      </c>
      <c r="E13" s="1360" t="s">
        <v>533</v>
      </c>
      <c r="F13" s="851"/>
      <c r="G13" s="826"/>
      <c r="H13" s="826"/>
      <c r="I13" s="826"/>
      <c r="J13" s="826"/>
      <c r="K13" s="826"/>
      <c r="L13" s="852"/>
      <c r="M13" s="826"/>
      <c r="N13" s="828"/>
      <c r="O13" s="1281"/>
      <c r="P13" s="1281" t="s">
        <v>2256</v>
      </c>
      <c r="Q13" s="324" t="s">
        <v>2174</v>
      </c>
      <c r="R13" s="324" t="s">
        <v>2191</v>
      </c>
      <c r="S13" s="1268" t="s">
        <v>2175</v>
      </c>
      <c r="T13" s="567"/>
      <c r="U13" s="449"/>
      <c r="V13" s="558"/>
      <c r="W13" s="657"/>
      <c r="X13" s="1434"/>
      <c r="Y13" s="666"/>
      <c r="Z13" s="558"/>
      <c r="AA13" s="667"/>
      <c r="AB13" s="1434"/>
      <c r="AC13" s="666"/>
      <c r="AD13" s="558"/>
      <c r="AE13" s="657"/>
      <c r="AF13" s="1269"/>
      <c r="AG13" s="1448"/>
      <c r="AH13" s="1309">
        <v>4</v>
      </c>
      <c r="AI13" s="1277"/>
      <c r="AJ13" s="1296"/>
      <c r="AK13" s="1294"/>
      <c r="AL13" s="853"/>
      <c r="AM13" s="847"/>
      <c r="AN13" s="847"/>
      <c r="AO13" s="847"/>
      <c r="AP13" s="845"/>
      <c r="AQ13" s="847"/>
      <c r="AR13" s="848"/>
      <c r="AS13" s="846"/>
      <c r="AT13" s="847"/>
      <c r="AU13" s="847"/>
      <c r="AV13" s="847"/>
      <c r="AW13" s="847"/>
      <c r="AX13" s="847"/>
      <c r="AY13" s="847"/>
      <c r="AZ13" s="847"/>
      <c r="BA13" s="847"/>
      <c r="BB13" s="847"/>
      <c r="BC13" s="847"/>
      <c r="BD13" s="847"/>
      <c r="BE13" s="847"/>
      <c r="BF13" s="848"/>
      <c r="BG13" s="854"/>
      <c r="BH13" s="855"/>
      <c r="BI13" s="842"/>
      <c r="BJ13" s="1449"/>
      <c r="BK13" s="823"/>
      <c r="BL13" s="1325"/>
      <c r="BM13" s="1409"/>
    </row>
    <row r="14" spans="1:66" ht="99.9" customHeight="1" x14ac:dyDescent="0.35">
      <c r="A14" s="1444"/>
      <c r="B14" s="1359"/>
      <c r="C14" s="1282"/>
      <c r="D14" s="1282"/>
      <c r="E14" s="1361"/>
      <c r="F14" s="1313" t="s">
        <v>556</v>
      </c>
      <c r="G14" s="1314"/>
      <c r="H14" s="1314"/>
      <c r="I14" s="1314"/>
      <c r="J14" s="1314"/>
      <c r="K14" s="1314"/>
      <c r="L14" s="1314"/>
      <c r="M14" s="1314"/>
      <c r="N14" s="1315"/>
      <c r="O14" s="1282"/>
      <c r="P14" s="1282"/>
      <c r="Q14" s="456">
        <v>5000000</v>
      </c>
      <c r="R14" s="456">
        <v>5000000</v>
      </c>
      <c r="S14" s="1270"/>
      <c r="T14" s="567"/>
      <c r="U14" s="449"/>
      <c r="V14" s="558"/>
      <c r="W14" s="657"/>
      <c r="X14" s="1434"/>
      <c r="Y14" s="449"/>
      <c r="Z14" s="558"/>
      <c r="AA14" s="667"/>
      <c r="AB14" s="1434"/>
      <c r="AC14" s="449"/>
      <c r="AD14" s="558"/>
      <c r="AE14" s="657"/>
      <c r="AF14" s="449"/>
      <c r="AG14" s="1448"/>
      <c r="AH14" s="1310"/>
      <c r="AI14" s="1277"/>
      <c r="AJ14" s="1296"/>
      <c r="AK14" s="1294"/>
      <c r="AL14" s="844"/>
      <c r="AM14" s="692"/>
      <c r="AN14" s="847"/>
      <c r="AO14" s="847"/>
      <c r="AP14" s="845"/>
      <c r="AQ14" s="847"/>
      <c r="AR14" s="848"/>
      <c r="AS14" s="846"/>
      <c r="AT14" s="847"/>
      <c r="AU14" s="847"/>
      <c r="AV14" s="847"/>
      <c r="AW14" s="847"/>
      <c r="AX14" s="847"/>
      <c r="AY14" s="847"/>
      <c r="AZ14" s="847"/>
      <c r="BA14" s="847"/>
      <c r="BB14" s="847"/>
      <c r="BC14" s="847"/>
      <c r="BD14" s="847"/>
      <c r="BE14" s="847"/>
      <c r="BF14" s="848"/>
      <c r="BG14" s="849"/>
      <c r="BH14" s="850"/>
      <c r="BI14" s="842"/>
      <c r="BJ14" s="1449"/>
      <c r="BK14" s="823"/>
      <c r="BL14" s="1325"/>
      <c r="BM14" s="1409"/>
    </row>
    <row r="15" spans="1:66" ht="99.9" customHeight="1" x14ac:dyDescent="0.35">
      <c r="A15" s="1443">
        <v>5</v>
      </c>
      <c r="B15" s="1358" t="s">
        <v>557</v>
      </c>
      <c r="C15" s="1281" t="s">
        <v>558</v>
      </c>
      <c r="D15" s="1281" t="s">
        <v>546</v>
      </c>
      <c r="E15" s="1360" t="s">
        <v>533</v>
      </c>
      <c r="F15" s="856"/>
      <c r="G15" s="857"/>
      <c r="H15" s="857"/>
      <c r="I15" s="857"/>
      <c r="J15" s="857"/>
      <c r="K15" s="857"/>
      <c r="L15" s="857"/>
      <c r="M15" s="857"/>
      <c r="N15" s="858"/>
      <c r="O15" s="1281" t="s">
        <v>559</v>
      </c>
      <c r="P15" s="1281" t="s">
        <v>560</v>
      </c>
      <c r="Q15" s="324" t="s">
        <v>2257</v>
      </c>
      <c r="R15" s="324"/>
      <c r="S15" s="1268" t="s">
        <v>2258</v>
      </c>
      <c r="T15" s="567"/>
      <c r="U15" s="449"/>
      <c r="V15" s="558"/>
      <c r="W15" s="657"/>
      <c r="X15" s="692"/>
      <c r="Y15" s="449"/>
      <c r="Z15" s="558"/>
      <c r="AA15" s="667"/>
      <c r="AB15" s="692"/>
      <c r="AC15" s="449"/>
      <c r="AD15" s="558"/>
      <c r="AE15" s="657"/>
      <c r="AF15" s="449"/>
      <c r="AG15" s="812"/>
      <c r="AH15" s="1309">
        <v>5</v>
      </c>
      <c r="AI15" s="1277"/>
      <c r="AJ15" s="1296"/>
      <c r="AK15" s="1294"/>
      <c r="AL15" s="844"/>
      <c r="AM15" s="692"/>
      <c r="AN15" s="847"/>
      <c r="AO15" s="847"/>
      <c r="AP15" s="845"/>
      <c r="AQ15" s="847"/>
      <c r="AR15" s="848"/>
      <c r="AS15" s="846"/>
      <c r="AT15" s="847"/>
      <c r="AU15" s="847"/>
      <c r="AV15" s="847"/>
      <c r="AW15" s="847"/>
      <c r="AX15" s="847"/>
      <c r="AY15" s="847"/>
      <c r="AZ15" s="847"/>
      <c r="BA15" s="847"/>
      <c r="BB15" s="847"/>
      <c r="BC15" s="847"/>
      <c r="BD15" s="847"/>
      <c r="BE15" s="847"/>
      <c r="BF15" s="848"/>
      <c r="BG15" s="849"/>
      <c r="BH15" s="850"/>
      <c r="BI15" s="842"/>
      <c r="BJ15" s="1449"/>
      <c r="BK15" s="823"/>
      <c r="BL15" s="1325"/>
      <c r="BM15" s="1409"/>
    </row>
    <row r="16" spans="1:66" ht="99.9" customHeight="1" x14ac:dyDescent="0.35">
      <c r="A16" s="1444"/>
      <c r="B16" s="1359"/>
      <c r="C16" s="1282"/>
      <c r="D16" s="1282"/>
      <c r="E16" s="1361"/>
      <c r="F16" s="1313" t="s">
        <v>561</v>
      </c>
      <c r="G16" s="1314"/>
      <c r="H16" s="1314"/>
      <c r="I16" s="1314"/>
      <c r="J16" s="1314"/>
      <c r="K16" s="1314"/>
      <c r="L16" s="1314"/>
      <c r="M16" s="1314"/>
      <c r="N16" s="1315"/>
      <c r="O16" s="1282"/>
      <c r="P16" s="1282"/>
      <c r="Q16" s="456">
        <v>43600000</v>
      </c>
      <c r="R16" s="456">
        <v>50336481</v>
      </c>
      <c r="S16" s="1270"/>
      <c r="T16" s="567"/>
      <c r="U16" s="449"/>
      <c r="V16" s="558"/>
      <c r="W16" s="657"/>
      <c r="X16" s="692"/>
      <c r="Y16" s="449"/>
      <c r="Z16" s="558"/>
      <c r="AA16" s="667"/>
      <c r="AB16" s="692"/>
      <c r="AC16" s="449"/>
      <c r="AD16" s="558"/>
      <c r="AE16" s="657"/>
      <c r="AF16" s="449"/>
      <c r="AG16" s="812"/>
      <c r="AH16" s="1310"/>
      <c r="AI16" s="1277"/>
      <c r="AJ16" s="1296"/>
      <c r="AK16" s="1294"/>
      <c r="AL16" s="844"/>
      <c r="AM16" s="692"/>
      <c r="AN16" s="847"/>
      <c r="AO16" s="847"/>
      <c r="AP16" s="845"/>
      <c r="AQ16" s="847"/>
      <c r="AR16" s="848"/>
      <c r="AS16" s="846"/>
      <c r="AT16" s="847"/>
      <c r="AU16" s="847"/>
      <c r="AV16" s="847"/>
      <c r="AW16" s="847"/>
      <c r="AX16" s="847"/>
      <c r="AY16" s="847"/>
      <c r="AZ16" s="847"/>
      <c r="BA16" s="847"/>
      <c r="BB16" s="847"/>
      <c r="BC16" s="847"/>
      <c r="BD16" s="847"/>
      <c r="BE16" s="847"/>
      <c r="BF16" s="848"/>
      <c r="BG16" s="849"/>
      <c r="BH16" s="850"/>
      <c r="BI16" s="842"/>
      <c r="BJ16" s="1449"/>
      <c r="BK16" s="823"/>
      <c r="BL16" s="1325"/>
      <c r="BM16" s="1409"/>
    </row>
    <row r="17" spans="1:66" ht="99.9" customHeight="1" x14ac:dyDescent="0.35">
      <c r="A17" s="1443">
        <v>6</v>
      </c>
      <c r="B17" s="1358" t="s">
        <v>562</v>
      </c>
      <c r="C17" s="1281" t="s">
        <v>563</v>
      </c>
      <c r="D17" s="1281" t="s">
        <v>532</v>
      </c>
      <c r="E17" s="1360" t="s">
        <v>533</v>
      </c>
      <c r="F17" s="859" t="s">
        <v>564</v>
      </c>
      <c r="G17" s="857"/>
      <c r="H17" s="857"/>
      <c r="I17" s="857"/>
      <c r="J17" s="857"/>
      <c r="K17" s="857"/>
      <c r="L17" s="857"/>
      <c r="M17" s="857"/>
      <c r="N17" s="858"/>
      <c r="O17" s="1281" t="s">
        <v>565</v>
      </c>
      <c r="P17" s="1281" t="s">
        <v>566</v>
      </c>
      <c r="Q17" s="324" t="s">
        <v>567</v>
      </c>
      <c r="R17" s="324"/>
      <c r="S17" s="1268" t="s">
        <v>568</v>
      </c>
      <c r="T17" s="567"/>
      <c r="U17" s="449"/>
      <c r="V17" s="558"/>
      <c r="W17" s="657"/>
      <c r="X17" s="692"/>
      <c r="Y17" s="449"/>
      <c r="Z17" s="558"/>
      <c r="AA17" s="667"/>
      <c r="AB17" s="692"/>
      <c r="AC17" s="449"/>
      <c r="AD17" s="558"/>
      <c r="AE17" s="657"/>
      <c r="AF17" s="449"/>
      <c r="AG17" s="812"/>
      <c r="AH17" s="1309">
        <v>6</v>
      </c>
      <c r="AI17" s="1277"/>
      <c r="AJ17" s="1296"/>
      <c r="AK17" s="1294"/>
      <c r="AL17" s="844"/>
      <c r="AM17" s="692"/>
      <c r="AN17" s="847"/>
      <c r="AO17" s="847"/>
      <c r="AP17" s="845"/>
      <c r="AQ17" s="847"/>
      <c r="AR17" s="848"/>
      <c r="AS17" s="846"/>
      <c r="AT17" s="847"/>
      <c r="AU17" s="847"/>
      <c r="AV17" s="847"/>
      <c r="AW17" s="847"/>
      <c r="AX17" s="847"/>
      <c r="AY17" s="847"/>
      <c r="AZ17" s="847"/>
      <c r="BA17" s="847"/>
      <c r="BB17" s="847"/>
      <c r="BC17" s="847"/>
      <c r="BD17" s="847"/>
      <c r="BE17" s="847"/>
      <c r="BF17" s="848"/>
      <c r="BG17" s="849"/>
      <c r="BH17" s="850"/>
      <c r="BI17" s="842"/>
      <c r="BJ17" s="1449"/>
      <c r="BK17" s="823"/>
      <c r="BL17" s="1325"/>
      <c r="BM17" s="1409"/>
    </row>
    <row r="18" spans="1:66" ht="99.9" customHeight="1" x14ac:dyDescent="0.35">
      <c r="A18" s="1444"/>
      <c r="B18" s="1359"/>
      <c r="C18" s="1282"/>
      <c r="D18" s="1282"/>
      <c r="E18" s="1361"/>
      <c r="F18" s="1313" t="s">
        <v>569</v>
      </c>
      <c r="G18" s="1314"/>
      <c r="H18" s="1314"/>
      <c r="I18" s="1314"/>
      <c r="J18" s="1314"/>
      <c r="K18" s="1314"/>
      <c r="L18" s="1314"/>
      <c r="M18" s="1314"/>
      <c r="N18" s="1315"/>
      <c r="O18" s="1282"/>
      <c r="P18" s="1282"/>
      <c r="Q18" s="456">
        <v>290000</v>
      </c>
      <c r="R18" s="456">
        <v>334807</v>
      </c>
      <c r="S18" s="1270"/>
      <c r="T18" s="567"/>
      <c r="U18" s="449"/>
      <c r="V18" s="558"/>
      <c r="W18" s="657"/>
      <c r="X18" s="692"/>
      <c r="Y18" s="449"/>
      <c r="Z18" s="558"/>
      <c r="AA18" s="667"/>
      <c r="AB18" s="692"/>
      <c r="AC18" s="449"/>
      <c r="AD18" s="558"/>
      <c r="AE18" s="657"/>
      <c r="AF18" s="449"/>
      <c r="AG18" s="812"/>
      <c r="AH18" s="1310"/>
      <c r="AI18" s="1277"/>
      <c r="AJ18" s="1296"/>
      <c r="AK18" s="1294"/>
      <c r="AL18" s="844"/>
      <c r="AM18" s="692"/>
      <c r="AN18" s="847"/>
      <c r="AO18" s="847"/>
      <c r="AP18" s="845"/>
      <c r="AQ18" s="847"/>
      <c r="AR18" s="848"/>
      <c r="AS18" s="846"/>
      <c r="AT18" s="847"/>
      <c r="AU18" s="847"/>
      <c r="AV18" s="847"/>
      <c r="AW18" s="847"/>
      <c r="AX18" s="847"/>
      <c r="AY18" s="847"/>
      <c r="AZ18" s="847"/>
      <c r="BA18" s="847"/>
      <c r="BB18" s="847"/>
      <c r="BC18" s="847"/>
      <c r="BD18" s="847"/>
      <c r="BE18" s="847"/>
      <c r="BF18" s="848"/>
      <c r="BG18" s="849"/>
      <c r="BH18" s="850"/>
      <c r="BI18" s="842"/>
      <c r="BJ18" s="1449"/>
      <c r="BK18" s="823"/>
      <c r="BL18" s="1325"/>
      <c r="BM18" s="1409"/>
    </row>
    <row r="19" spans="1:66" ht="99.9" customHeight="1" x14ac:dyDescent="0.35">
      <c r="A19" s="1443">
        <v>7</v>
      </c>
      <c r="B19" s="1358" t="s">
        <v>570</v>
      </c>
      <c r="C19" s="1281" t="s">
        <v>571</v>
      </c>
      <c r="D19" s="1281" t="s">
        <v>546</v>
      </c>
      <c r="E19" s="1360" t="s">
        <v>533</v>
      </c>
      <c r="F19" s="856"/>
      <c r="G19" s="857"/>
      <c r="H19" s="857"/>
      <c r="I19" s="857"/>
      <c r="J19" s="857"/>
      <c r="K19" s="857"/>
      <c r="L19" s="857"/>
      <c r="M19" s="857"/>
      <c r="N19" s="858"/>
      <c r="O19" s="1281" t="s">
        <v>559</v>
      </c>
      <c r="P19" s="1281" t="s">
        <v>2259</v>
      </c>
      <c r="Q19" s="324" t="s">
        <v>572</v>
      </c>
      <c r="R19" s="324" t="s">
        <v>2191</v>
      </c>
      <c r="S19" s="1268" t="s">
        <v>2225</v>
      </c>
      <c r="T19" s="567"/>
      <c r="U19" s="449"/>
      <c r="V19" s="558"/>
      <c r="W19" s="657"/>
      <c r="X19" s="692"/>
      <c r="Y19" s="449"/>
      <c r="Z19" s="558"/>
      <c r="AA19" s="667"/>
      <c r="AB19" s="692"/>
      <c r="AC19" s="449"/>
      <c r="AD19" s="558"/>
      <c r="AE19" s="657"/>
      <c r="AF19" s="449"/>
      <c r="AG19" s="812"/>
      <c r="AH19" s="1309">
        <v>7</v>
      </c>
      <c r="AI19" s="1277"/>
      <c r="AJ19" s="1296"/>
      <c r="AK19" s="1294"/>
      <c r="AL19" s="844"/>
      <c r="AM19" s="692"/>
      <c r="AN19" s="847"/>
      <c r="AO19" s="847"/>
      <c r="AP19" s="845"/>
      <c r="AQ19" s="847"/>
      <c r="AR19" s="848"/>
      <c r="AS19" s="846"/>
      <c r="AT19" s="847"/>
      <c r="AU19" s="847"/>
      <c r="AV19" s="847"/>
      <c r="AW19" s="847"/>
      <c r="AX19" s="847"/>
      <c r="AY19" s="847"/>
      <c r="AZ19" s="847"/>
      <c r="BA19" s="847"/>
      <c r="BB19" s="847"/>
      <c r="BC19" s="847"/>
      <c r="BD19" s="847"/>
      <c r="BE19" s="847"/>
      <c r="BF19" s="848"/>
      <c r="BG19" s="849"/>
      <c r="BH19" s="850"/>
      <c r="BI19" s="842"/>
      <c r="BJ19" s="1449"/>
      <c r="BK19" s="823"/>
      <c r="BL19" s="1325"/>
      <c r="BM19" s="1409"/>
    </row>
    <row r="20" spans="1:66" ht="327.75" customHeight="1" x14ac:dyDescent="0.35">
      <c r="A20" s="1444"/>
      <c r="B20" s="1359"/>
      <c r="C20" s="1282"/>
      <c r="D20" s="1282"/>
      <c r="E20" s="1361"/>
      <c r="F20" s="1313" t="s">
        <v>573</v>
      </c>
      <c r="G20" s="1314"/>
      <c r="H20" s="1314"/>
      <c r="I20" s="1314"/>
      <c r="J20" s="1314"/>
      <c r="K20" s="1314"/>
      <c r="L20" s="1314"/>
      <c r="M20" s="1314"/>
      <c r="N20" s="1315"/>
      <c r="O20" s="1282"/>
      <c r="P20" s="1282"/>
      <c r="Q20" s="456">
        <v>17500000</v>
      </c>
      <c r="R20" s="456">
        <v>17500000</v>
      </c>
      <c r="S20" s="1270"/>
      <c r="T20" s="567"/>
      <c r="U20" s="449"/>
      <c r="V20" s="558"/>
      <c r="W20" s="657"/>
      <c r="X20" s="692"/>
      <c r="Y20" s="449"/>
      <c r="Z20" s="558"/>
      <c r="AA20" s="667"/>
      <c r="AB20" s="692"/>
      <c r="AC20" s="449"/>
      <c r="AD20" s="558"/>
      <c r="AE20" s="657"/>
      <c r="AF20" s="449"/>
      <c r="AG20" s="812"/>
      <c r="AH20" s="1310"/>
      <c r="AI20" s="1277"/>
      <c r="AJ20" s="1296"/>
      <c r="AK20" s="1294"/>
      <c r="AL20" s="844"/>
      <c r="AM20" s="692"/>
      <c r="AN20" s="847"/>
      <c r="AO20" s="847"/>
      <c r="AP20" s="845"/>
      <c r="AQ20" s="847"/>
      <c r="AR20" s="848"/>
      <c r="AS20" s="846"/>
      <c r="AT20" s="847"/>
      <c r="AU20" s="847"/>
      <c r="AV20" s="847"/>
      <c r="AW20" s="847"/>
      <c r="AX20" s="847"/>
      <c r="AY20" s="847"/>
      <c r="AZ20" s="847"/>
      <c r="BA20" s="847"/>
      <c r="BB20" s="847"/>
      <c r="BC20" s="847"/>
      <c r="BD20" s="847"/>
      <c r="BE20" s="847"/>
      <c r="BF20" s="848"/>
      <c r="BG20" s="849"/>
      <c r="BH20" s="850"/>
      <c r="BI20" s="842"/>
      <c r="BJ20" s="1449"/>
      <c r="BK20" s="823"/>
      <c r="BL20" s="1325"/>
      <c r="BM20" s="1409"/>
    </row>
    <row r="21" spans="1:66" ht="99.9" customHeight="1" x14ac:dyDescent="0.35">
      <c r="A21" s="1443">
        <v>8</v>
      </c>
      <c r="B21" s="1358" t="s">
        <v>574</v>
      </c>
      <c r="C21" s="1281" t="s">
        <v>575</v>
      </c>
      <c r="D21" s="1281" t="s">
        <v>546</v>
      </c>
      <c r="E21" s="1360" t="s">
        <v>533</v>
      </c>
      <c r="F21" s="856"/>
      <c r="G21" s="857"/>
      <c r="H21" s="857"/>
      <c r="I21" s="857"/>
      <c r="J21" s="857"/>
      <c r="K21" s="857"/>
      <c r="L21" s="857"/>
      <c r="M21" s="857"/>
      <c r="N21" s="858"/>
      <c r="O21" s="1281" t="s">
        <v>559</v>
      </c>
      <c r="P21" s="1281" t="s">
        <v>576</v>
      </c>
      <c r="Q21" s="324" t="s">
        <v>2257</v>
      </c>
      <c r="R21" s="324"/>
      <c r="S21" s="1268" t="s">
        <v>2258</v>
      </c>
      <c r="T21" s="567"/>
      <c r="U21" s="449"/>
      <c r="V21" s="558"/>
      <c r="W21" s="657"/>
      <c r="X21" s="692"/>
      <c r="Y21" s="449"/>
      <c r="Z21" s="558"/>
      <c r="AA21" s="667"/>
      <c r="AB21" s="692"/>
      <c r="AC21" s="449"/>
      <c r="AD21" s="558"/>
      <c r="AE21" s="657"/>
      <c r="AF21" s="449"/>
      <c r="AG21" s="812"/>
      <c r="AH21" s="1309">
        <v>8</v>
      </c>
      <c r="AI21" s="1277"/>
      <c r="AJ21" s="1296"/>
      <c r="AK21" s="1294"/>
      <c r="AL21" s="844"/>
      <c r="AM21" s="692"/>
      <c r="AN21" s="847"/>
      <c r="AO21" s="847"/>
      <c r="AP21" s="845"/>
      <c r="AQ21" s="847"/>
      <c r="AR21" s="848"/>
      <c r="AS21" s="846"/>
      <c r="AT21" s="847"/>
      <c r="AU21" s="847"/>
      <c r="AV21" s="847"/>
      <c r="AW21" s="847"/>
      <c r="AX21" s="847"/>
      <c r="AY21" s="847"/>
      <c r="AZ21" s="847"/>
      <c r="BA21" s="847"/>
      <c r="BB21" s="847"/>
      <c r="BC21" s="847"/>
      <c r="BD21" s="847"/>
      <c r="BE21" s="847"/>
      <c r="BF21" s="848"/>
      <c r="BG21" s="849"/>
      <c r="BH21" s="850"/>
      <c r="BI21" s="842"/>
      <c r="BJ21" s="1449"/>
      <c r="BK21" s="860"/>
      <c r="BL21" s="1325"/>
      <c r="BM21" s="1409"/>
    </row>
    <row r="22" spans="1:66" ht="99.9" customHeight="1" x14ac:dyDescent="0.35">
      <c r="A22" s="1444"/>
      <c r="B22" s="1359"/>
      <c r="C22" s="1282"/>
      <c r="D22" s="1282"/>
      <c r="E22" s="1361"/>
      <c r="F22" s="1313" t="s">
        <v>577</v>
      </c>
      <c r="G22" s="1314"/>
      <c r="H22" s="1314"/>
      <c r="I22" s="1314"/>
      <c r="J22" s="1314"/>
      <c r="K22" s="1314"/>
      <c r="L22" s="1314"/>
      <c r="M22" s="1314"/>
      <c r="N22" s="1315"/>
      <c r="O22" s="1282"/>
      <c r="P22" s="1282"/>
      <c r="Q22" s="456">
        <v>54200000</v>
      </c>
      <c r="R22" s="456">
        <v>62574249</v>
      </c>
      <c r="S22" s="1270"/>
      <c r="T22" s="567"/>
      <c r="U22" s="449"/>
      <c r="V22" s="558"/>
      <c r="W22" s="657"/>
      <c r="X22" s="692"/>
      <c r="Y22" s="449"/>
      <c r="Z22" s="558"/>
      <c r="AA22" s="667"/>
      <c r="AB22" s="692"/>
      <c r="AC22" s="449"/>
      <c r="AD22" s="558"/>
      <c r="AE22" s="657"/>
      <c r="AF22" s="449"/>
      <c r="AG22" s="812"/>
      <c r="AH22" s="1310"/>
      <c r="AI22" s="1277"/>
      <c r="AJ22" s="1296"/>
      <c r="AK22" s="1294"/>
      <c r="AL22" s="844"/>
      <c r="AM22" s="692"/>
      <c r="AN22" s="847"/>
      <c r="AO22" s="847"/>
      <c r="AP22" s="845"/>
      <c r="AQ22" s="847"/>
      <c r="AR22" s="848"/>
      <c r="AS22" s="846"/>
      <c r="AT22" s="847"/>
      <c r="AU22" s="847"/>
      <c r="AV22" s="847"/>
      <c r="AW22" s="847"/>
      <c r="AX22" s="847"/>
      <c r="AY22" s="847"/>
      <c r="AZ22" s="847"/>
      <c r="BA22" s="847"/>
      <c r="BB22" s="847"/>
      <c r="BC22" s="847"/>
      <c r="BD22" s="847"/>
      <c r="BE22" s="847"/>
      <c r="BF22" s="848"/>
      <c r="BG22" s="849"/>
      <c r="BH22" s="850"/>
      <c r="BI22" s="842"/>
      <c r="BJ22" s="1449"/>
      <c r="BK22" s="791"/>
      <c r="BL22" s="1325"/>
      <c r="BM22" s="1409"/>
    </row>
    <row r="23" spans="1:66" ht="99.9" customHeight="1" x14ac:dyDescent="0.35">
      <c r="A23" s="1443">
        <v>9</v>
      </c>
      <c r="B23" s="1358" t="s">
        <v>578</v>
      </c>
      <c r="C23" s="1281" t="s">
        <v>579</v>
      </c>
      <c r="D23" s="1281" t="s">
        <v>580</v>
      </c>
      <c r="E23" s="1360" t="s">
        <v>533</v>
      </c>
      <c r="F23" s="856"/>
      <c r="G23" s="857"/>
      <c r="H23" s="857"/>
      <c r="I23" s="857"/>
      <c r="J23" s="857"/>
      <c r="K23" s="857"/>
      <c r="L23" s="857"/>
      <c r="M23" s="857"/>
      <c r="N23" s="858"/>
      <c r="O23" s="1281"/>
      <c r="P23" s="1281" t="s">
        <v>581</v>
      </c>
      <c r="Q23" s="329"/>
      <c r="R23" s="329"/>
      <c r="S23" s="1268"/>
      <c r="T23" s="567"/>
      <c r="U23" s="449"/>
      <c r="V23" s="558"/>
      <c r="W23" s="657"/>
      <c r="X23" s="692"/>
      <c r="Y23" s="449"/>
      <c r="Z23" s="558"/>
      <c r="AA23" s="667"/>
      <c r="AB23" s="692"/>
      <c r="AC23" s="449"/>
      <c r="AD23" s="558"/>
      <c r="AE23" s="657"/>
      <c r="AF23" s="449"/>
      <c r="AG23" s="812"/>
      <c r="AH23" s="1309">
        <v>9</v>
      </c>
      <c r="AI23" s="1277"/>
      <c r="AJ23" s="1296"/>
      <c r="AK23" s="1294"/>
      <c r="AL23" s="844"/>
      <c r="AM23" s="692"/>
      <c r="AN23" s="847"/>
      <c r="AO23" s="847"/>
      <c r="AP23" s="845"/>
      <c r="AQ23" s="847"/>
      <c r="AR23" s="848"/>
      <c r="AS23" s="846"/>
      <c r="AT23" s="847"/>
      <c r="AU23" s="847"/>
      <c r="AV23" s="847"/>
      <c r="AW23" s="847"/>
      <c r="AX23" s="847"/>
      <c r="AY23" s="847"/>
      <c r="AZ23" s="847"/>
      <c r="BA23" s="847"/>
      <c r="BB23" s="847"/>
      <c r="BC23" s="847"/>
      <c r="BD23" s="847"/>
      <c r="BE23" s="847"/>
      <c r="BF23" s="848"/>
      <c r="BG23" s="849"/>
      <c r="BH23" s="850"/>
      <c r="BI23" s="842"/>
      <c r="BJ23" s="1449"/>
      <c r="BK23" s="823"/>
      <c r="BL23" s="1325"/>
      <c r="BM23" s="1409"/>
    </row>
    <row r="24" spans="1:66" ht="99.9" customHeight="1" thickBot="1" x14ac:dyDescent="0.4">
      <c r="A24" s="1444"/>
      <c r="B24" s="1367"/>
      <c r="C24" s="1301"/>
      <c r="D24" s="1301"/>
      <c r="E24" s="1361"/>
      <c r="F24" s="1364" t="s">
        <v>582</v>
      </c>
      <c r="G24" s="1365"/>
      <c r="H24" s="1365"/>
      <c r="I24" s="1365"/>
      <c r="J24" s="1365"/>
      <c r="K24" s="1365"/>
      <c r="L24" s="1365"/>
      <c r="M24" s="1365"/>
      <c r="N24" s="1366"/>
      <c r="O24" s="1301"/>
      <c r="P24" s="1301"/>
      <c r="Q24" s="603"/>
      <c r="R24" s="603"/>
      <c r="S24" s="1278"/>
      <c r="T24" s="648"/>
      <c r="U24" s="649"/>
      <c r="V24" s="650"/>
      <c r="W24" s="658"/>
      <c r="X24" s="693"/>
      <c r="Y24" s="649"/>
      <c r="Z24" s="650"/>
      <c r="AA24" s="668"/>
      <c r="AB24" s="693"/>
      <c r="AC24" s="649"/>
      <c r="AD24" s="650"/>
      <c r="AE24" s="658"/>
      <c r="AF24" s="649"/>
      <c r="AG24" s="861"/>
      <c r="AH24" s="1310"/>
      <c r="AI24" s="1276"/>
      <c r="AJ24" s="1297"/>
      <c r="AK24" s="1300"/>
      <c r="AL24" s="844"/>
      <c r="AM24" s="692"/>
      <c r="AN24" s="847"/>
      <c r="AO24" s="847"/>
      <c r="AP24" s="845"/>
      <c r="AQ24" s="847"/>
      <c r="AR24" s="848"/>
      <c r="AS24" s="846"/>
      <c r="AT24" s="847"/>
      <c r="AU24" s="847"/>
      <c r="AV24" s="847"/>
      <c r="AW24" s="847"/>
      <c r="AX24" s="847"/>
      <c r="AY24" s="847"/>
      <c r="AZ24" s="847"/>
      <c r="BA24" s="847"/>
      <c r="BB24" s="847"/>
      <c r="BC24" s="847"/>
      <c r="BD24" s="847"/>
      <c r="BE24" s="847"/>
      <c r="BF24" s="848"/>
      <c r="BG24" s="849"/>
      <c r="BH24" s="850"/>
      <c r="BI24" s="842"/>
      <c r="BJ24" s="1433"/>
      <c r="BK24" s="823"/>
      <c r="BL24" s="1317"/>
      <c r="BM24" s="1324"/>
    </row>
    <row r="25" spans="1:66" s="758" customFormat="1" ht="15" customHeight="1" x14ac:dyDescent="0.35">
      <c r="A25" s="862"/>
      <c r="B25" s="863" t="s">
        <v>449</v>
      </c>
      <c r="C25" s="863" t="s">
        <v>450</v>
      </c>
      <c r="D25" s="863" t="s">
        <v>451</v>
      </c>
      <c r="E25" s="863" t="s">
        <v>452</v>
      </c>
      <c r="F25" s="864"/>
      <c r="G25" s="865"/>
      <c r="H25" s="865"/>
      <c r="I25" s="865"/>
      <c r="J25" s="865" t="s">
        <v>453</v>
      </c>
      <c r="K25" s="865"/>
      <c r="L25" s="865"/>
      <c r="M25" s="865"/>
      <c r="N25" s="866"/>
      <c r="O25" s="863" t="s">
        <v>454</v>
      </c>
      <c r="P25" s="863" t="s">
        <v>455</v>
      </c>
      <c r="Q25" s="863" t="s">
        <v>456</v>
      </c>
      <c r="R25" s="863"/>
      <c r="S25" s="863" t="s">
        <v>457</v>
      </c>
      <c r="T25" s="863" t="s">
        <v>458</v>
      </c>
      <c r="U25" s="863" t="s">
        <v>459</v>
      </c>
      <c r="V25" s="863" t="s">
        <v>460</v>
      </c>
      <c r="W25" s="863" t="s">
        <v>461</v>
      </c>
      <c r="X25" s="863" t="s">
        <v>242</v>
      </c>
      <c r="Y25" s="863" t="s">
        <v>462</v>
      </c>
      <c r="Z25" s="863" t="s">
        <v>463</v>
      </c>
      <c r="AA25" s="863" t="s">
        <v>464</v>
      </c>
      <c r="AB25" s="863" t="s">
        <v>465</v>
      </c>
      <c r="AC25" s="863" t="s">
        <v>466</v>
      </c>
      <c r="AD25" s="863" t="s">
        <v>467</v>
      </c>
      <c r="AE25" s="863" t="s">
        <v>468</v>
      </c>
      <c r="AF25" s="863" t="s">
        <v>469</v>
      </c>
      <c r="AG25" s="863" t="s">
        <v>470</v>
      </c>
      <c r="AJ25" s="863" t="s">
        <v>449</v>
      </c>
      <c r="AK25" s="863" t="s">
        <v>450</v>
      </c>
      <c r="AL25" s="863" t="s">
        <v>471</v>
      </c>
      <c r="AM25" s="867" t="s">
        <v>472</v>
      </c>
      <c r="AN25" s="863" t="s">
        <v>473</v>
      </c>
      <c r="AO25" s="863" t="s">
        <v>474</v>
      </c>
      <c r="AP25" s="863" t="s">
        <v>475</v>
      </c>
      <c r="AQ25" s="863" t="s">
        <v>476</v>
      </c>
      <c r="AR25" s="863" t="s">
        <v>477</v>
      </c>
      <c r="AS25" s="863" t="s">
        <v>478</v>
      </c>
      <c r="AT25" s="863" t="s">
        <v>479</v>
      </c>
      <c r="AU25" s="863" t="s">
        <v>480</v>
      </c>
      <c r="AV25" s="863" t="s">
        <v>481</v>
      </c>
      <c r="AW25" s="863" t="s">
        <v>482</v>
      </c>
      <c r="AX25" s="863" t="s">
        <v>483</v>
      </c>
      <c r="AY25" s="863" t="s">
        <v>484</v>
      </c>
      <c r="AZ25" s="863" t="s">
        <v>485</v>
      </c>
      <c r="BA25" s="863" t="s">
        <v>486</v>
      </c>
      <c r="BB25" s="863" t="s">
        <v>487</v>
      </c>
      <c r="BC25" s="863" t="s">
        <v>488</v>
      </c>
      <c r="BD25" s="863" t="s">
        <v>489</v>
      </c>
      <c r="BE25" s="863" t="s">
        <v>490</v>
      </c>
      <c r="BF25" s="863" t="s">
        <v>491</v>
      </c>
      <c r="BG25" s="867" t="s">
        <v>492</v>
      </c>
      <c r="BH25" s="863" t="s">
        <v>493</v>
      </c>
      <c r="BI25" s="863" t="s">
        <v>494</v>
      </c>
      <c r="BJ25" s="868"/>
    </row>
    <row r="26" spans="1:66" ht="39.9" customHeight="1" x14ac:dyDescent="0.35">
      <c r="B26" s="1405" t="s">
        <v>448</v>
      </c>
      <c r="C26" s="1406"/>
      <c r="D26" s="1406"/>
      <c r="E26" s="1406"/>
      <c r="F26" s="1406"/>
      <c r="G26" s="1406"/>
      <c r="H26" s="1406"/>
      <c r="I26" s="1406"/>
      <c r="J26" s="1406"/>
      <c r="K26" s="1406"/>
      <c r="L26" s="1406"/>
      <c r="M26" s="1406"/>
      <c r="N26" s="1406"/>
      <c r="O26" s="1406"/>
      <c r="P26" s="1406"/>
      <c r="Q26" s="1406"/>
      <c r="R26" s="1406"/>
      <c r="S26" s="1406"/>
      <c r="T26" s="1406"/>
      <c r="U26" s="1406"/>
      <c r="V26" s="1406"/>
      <c r="W26" s="1406"/>
      <c r="X26" s="1406"/>
      <c r="Y26" s="1406"/>
      <c r="Z26" s="1406"/>
      <c r="AA26" s="1406"/>
      <c r="AB26" s="1406"/>
      <c r="AC26" s="1406"/>
      <c r="AD26" s="1406"/>
      <c r="AE26" s="1406"/>
      <c r="AF26" s="1406"/>
      <c r="AG26" s="1407"/>
      <c r="AJ26" s="1405" t="s">
        <v>448</v>
      </c>
      <c r="AK26" s="1406"/>
      <c r="AL26" s="1406"/>
      <c r="AM26" s="1406"/>
      <c r="AN26" s="1406"/>
      <c r="AO26" s="1406"/>
      <c r="AP26" s="1406"/>
      <c r="AQ26" s="1406"/>
      <c r="AR26" s="1406"/>
      <c r="AS26" s="1406"/>
      <c r="AT26" s="1406"/>
      <c r="AU26" s="1406"/>
      <c r="AV26" s="1406"/>
      <c r="AW26" s="1406"/>
      <c r="AX26" s="1406"/>
      <c r="AY26" s="1406"/>
      <c r="AZ26" s="1406"/>
      <c r="BA26" s="1406"/>
      <c r="BB26" s="1406"/>
      <c r="BC26" s="1406"/>
      <c r="BD26" s="1406"/>
      <c r="BE26" s="1406"/>
      <c r="BF26" s="1406"/>
      <c r="BG26" s="1406"/>
      <c r="BH26" s="1406"/>
      <c r="BI26" s="1407"/>
      <c r="BJ26" s="759"/>
      <c r="BK26" s="760"/>
      <c r="BL26" s="760"/>
      <c r="BM26" s="760"/>
      <c r="BN26" s="760"/>
    </row>
    <row r="27" spans="1:66" s="758" customFormat="1" ht="15" customHeight="1" thickBot="1" x14ac:dyDescent="0.4">
      <c r="B27" s="869" t="s">
        <v>449</v>
      </c>
      <c r="C27" s="869" t="s">
        <v>450</v>
      </c>
      <c r="D27" s="869" t="s">
        <v>451</v>
      </c>
      <c r="E27" s="869" t="s">
        <v>452</v>
      </c>
      <c r="F27" s="870"/>
      <c r="G27" s="871"/>
      <c r="H27" s="871"/>
      <c r="I27" s="871"/>
      <c r="J27" s="871" t="s">
        <v>453</v>
      </c>
      <c r="K27" s="871"/>
      <c r="L27" s="871"/>
      <c r="M27" s="871"/>
      <c r="N27" s="872"/>
      <c r="O27" s="869" t="s">
        <v>454</v>
      </c>
      <c r="P27" s="869" t="s">
        <v>455</v>
      </c>
      <c r="Q27" s="869" t="s">
        <v>456</v>
      </c>
      <c r="R27" s="869"/>
      <c r="S27" s="869" t="s">
        <v>457</v>
      </c>
      <c r="T27" s="869" t="s">
        <v>458</v>
      </c>
      <c r="U27" s="869" t="s">
        <v>459</v>
      </c>
      <c r="V27" s="869" t="s">
        <v>460</v>
      </c>
      <c r="W27" s="869" t="s">
        <v>461</v>
      </c>
      <c r="X27" s="869" t="s">
        <v>242</v>
      </c>
      <c r="Y27" s="869" t="s">
        <v>462</v>
      </c>
      <c r="Z27" s="869" t="s">
        <v>463</v>
      </c>
      <c r="AA27" s="869" t="s">
        <v>464</v>
      </c>
      <c r="AB27" s="869" t="s">
        <v>465</v>
      </c>
      <c r="AC27" s="869" t="s">
        <v>466</v>
      </c>
      <c r="AD27" s="869" t="s">
        <v>467</v>
      </c>
      <c r="AE27" s="869" t="s">
        <v>468</v>
      </c>
      <c r="AF27" s="869" t="s">
        <v>469</v>
      </c>
      <c r="AG27" s="869" t="s">
        <v>470</v>
      </c>
      <c r="AJ27" s="869" t="s">
        <v>449</v>
      </c>
      <c r="AK27" s="869" t="s">
        <v>450</v>
      </c>
      <c r="AL27" s="869" t="s">
        <v>471</v>
      </c>
      <c r="AM27" s="873" t="s">
        <v>472</v>
      </c>
      <c r="AN27" s="869" t="s">
        <v>473</v>
      </c>
      <c r="AO27" s="869" t="s">
        <v>474</v>
      </c>
      <c r="AP27" s="869" t="s">
        <v>475</v>
      </c>
      <c r="AQ27" s="869" t="s">
        <v>476</v>
      </c>
      <c r="AR27" s="869" t="s">
        <v>477</v>
      </c>
      <c r="AS27" s="869" t="s">
        <v>478</v>
      </c>
      <c r="AT27" s="869" t="s">
        <v>479</v>
      </c>
      <c r="AU27" s="869" t="s">
        <v>480</v>
      </c>
      <c r="AV27" s="869" t="s">
        <v>481</v>
      </c>
      <c r="AW27" s="869" t="s">
        <v>482</v>
      </c>
      <c r="AX27" s="869" t="s">
        <v>483</v>
      </c>
      <c r="AY27" s="869" t="s">
        <v>484</v>
      </c>
      <c r="AZ27" s="869" t="s">
        <v>485</v>
      </c>
      <c r="BA27" s="869" t="s">
        <v>486</v>
      </c>
      <c r="BB27" s="869" t="s">
        <v>487</v>
      </c>
      <c r="BC27" s="869" t="s">
        <v>488</v>
      </c>
      <c r="BD27" s="869" t="s">
        <v>489</v>
      </c>
      <c r="BE27" s="869" t="s">
        <v>490</v>
      </c>
      <c r="BF27" s="869" t="s">
        <v>491</v>
      </c>
      <c r="BG27" s="873" t="s">
        <v>492</v>
      </c>
      <c r="BH27" s="869" t="s">
        <v>493</v>
      </c>
      <c r="BI27" s="869" t="s">
        <v>494</v>
      </c>
    </row>
    <row r="28" spans="1:66" ht="99.9" customHeight="1" thickTop="1" x14ac:dyDescent="0.35">
      <c r="A28" s="767"/>
      <c r="B28" s="1408" t="s">
        <v>2231</v>
      </c>
      <c r="C28" s="874"/>
      <c r="D28" s="1285" t="s">
        <v>495</v>
      </c>
      <c r="E28" s="1402" t="s">
        <v>496</v>
      </c>
      <c r="F28" s="1403" t="s">
        <v>219</v>
      </c>
      <c r="G28" s="1403"/>
      <c r="H28" s="1403"/>
      <c r="I28" s="1403"/>
      <c r="J28" s="1403"/>
      <c r="K28" s="1403"/>
      <c r="L28" s="1403"/>
      <c r="M28" s="1403"/>
      <c r="N28" s="1403"/>
      <c r="O28" s="1285" t="s">
        <v>214</v>
      </c>
      <c r="P28" s="1404" t="s">
        <v>497</v>
      </c>
      <c r="Q28" s="1285" t="s">
        <v>498</v>
      </c>
      <c r="R28" s="1321" t="s">
        <v>2183</v>
      </c>
      <c r="S28" s="1318" t="s">
        <v>499</v>
      </c>
      <c r="T28" s="1319" t="s">
        <v>2</v>
      </c>
      <c r="U28" s="1318" t="s">
        <v>500</v>
      </c>
      <c r="V28" s="1287" t="s">
        <v>501</v>
      </c>
      <c r="W28" s="1289" t="s">
        <v>502</v>
      </c>
      <c r="X28" s="1283" t="s">
        <v>503</v>
      </c>
      <c r="Y28" s="1285" t="s">
        <v>504</v>
      </c>
      <c r="Z28" s="1287" t="s">
        <v>505</v>
      </c>
      <c r="AA28" s="1289" t="s">
        <v>506</v>
      </c>
      <c r="AB28" s="1283" t="s">
        <v>507</v>
      </c>
      <c r="AC28" s="1285" t="s">
        <v>504</v>
      </c>
      <c r="AD28" s="1287" t="s">
        <v>505</v>
      </c>
      <c r="AE28" s="1289" t="s">
        <v>508</v>
      </c>
      <c r="AF28" s="1285" t="s">
        <v>509</v>
      </c>
      <c r="AG28" s="1273" t="s">
        <v>510</v>
      </c>
      <c r="AJ28" s="1298" t="s">
        <v>2231</v>
      </c>
      <c r="AK28" s="875"/>
      <c r="AL28" s="876" t="s">
        <v>2234</v>
      </c>
      <c r="AM28" s="877" t="s">
        <v>2235</v>
      </c>
      <c r="AN28" s="877" t="s">
        <v>2236</v>
      </c>
      <c r="AO28" s="877" t="s">
        <v>2237</v>
      </c>
      <c r="AP28" s="877" t="s">
        <v>2238</v>
      </c>
      <c r="AQ28" s="877" t="s">
        <v>2239</v>
      </c>
      <c r="AR28" s="878" t="s">
        <v>2240</v>
      </c>
      <c r="AS28" s="879" t="s">
        <v>2241</v>
      </c>
      <c r="AT28" s="877" t="s">
        <v>2242</v>
      </c>
      <c r="AU28" s="877" t="s">
        <v>2243</v>
      </c>
      <c r="AV28" s="877" t="s">
        <v>2244</v>
      </c>
      <c r="AW28" s="877" t="s">
        <v>2245</v>
      </c>
      <c r="AX28" s="877" t="s">
        <v>2246</v>
      </c>
      <c r="AY28" s="877" t="s">
        <v>2247</v>
      </c>
      <c r="AZ28" s="877" t="s">
        <v>2248</v>
      </c>
      <c r="BA28" s="877" t="s">
        <v>2249</v>
      </c>
      <c r="BB28" s="877" t="s">
        <v>2250</v>
      </c>
      <c r="BC28" s="877" t="s">
        <v>2251</v>
      </c>
      <c r="BD28" s="877" t="s">
        <v>2252</v>
      </c>
      <c r="BE28" s="877" t="s">
        <v>2253</v>
      </c>
      <c r="BF28" s="878" t="s">
        <v>2254</v>
      </c>
      <c r="BG28" s="879" t="s">
        <v>2255</v>
      </c>
      <c r="BH28" s="1436" t="s">
        <v>41</v>
      </c>
      <c r="BI28" s="1437" t="s">
        <v>42</v>
      </c>
      <c r="BJ28" s="776"/>
      <c r="BK28" s="777"/>
      <c r="BL28" s="778"/>
      <c r="BM28" s="778"/>
    </row>
    <row r="29" spans="1:66" s="793" customFormat="1" ht="50.15" customHeight="1" x14ac:dyDescent="0.35">
      <c r="A29" s="779"/>
      <c r="B29" s="1393"/>
      <c r="C29" s="780" t="s">
        <v>511</v>
      </c>
      <c r="D29" s="1286"/>
      <c r="E29" s="1395"/>
      <c r="F29" s="333" t="s">
        <v>512</v>
      </c>
      <c r="G29" s="333" t="s">
        <v>513</v>
      </c>
      <c r="H29" s="333" t="s">
        <v>514</v>
      </c>
      <c r="I29" s="333" t="s">
        <v>515</v>
      </c>
      <c r="J29" s="333" t="s">
        <v>516</v>
      </c>
      <c r="K29" s="333" t="s">
        <v>517</v>
      </c>
      <c r="L29" s="333" t="s">
        <v>518</v>
      </c>
      <c r="M29" s="333" t="s">
        <v>519</v>
      </c>
      <c r="N29" s="333" t="s">
        <v>520</v>
      </c>
      <c r="O29" s="1397"/>
      <c r="P29" s="1401"/>
      <c r="Q29" s="1286"/>
      <c r="R29" s="1322"/>
      <c r="S29" s="1241"/>
      <c r="T29" s="1320"/>
      <c r="U29" s="1241"/>
      <c r="V29" s="1288"/>
      <c r="W29" s="1290"/>
      <c r="X29" s="1284"/>
      <c r="Y29" s="1286"/>
      <c r="Z29" s="1288"/>
      <c r="AA29" s="1290"/>
      <c r="AB29" s="1284"/>
      <c r="AC29" s="1286"/>
      <c r="AD29" s="1288"/>
      <c r="AE29" s="1290"/>
      <c r="AF29" s="1286"/>
      <c r="AG29" s="1274"/>
      <c r="AH29" s="880"/>
      <c r="AI29" s="880"/>
      <c r="AJ29" s="1299"/>
      <c r="AK29" s="783" t="s">
        <v>511</v>
      </c>
      <c r="AL29" s="784">
        <v>8500</v>
      </c>
      <c r="AM29" s="785">
        <v>1500</v>
      </c>
      <c r="AN29" s="785">
        <v>2600</v>
      </c>
      <c r="AO29" s="786">
        <v>750</v>
      </c>
      <c r="AP29" s="786" t="s">
        <v>48</v>
      </c>
      <c r="AQ29" s="785">
        <v>2100</v>
      </c>
      <c r="AR29" s="787">
        <v>1050</v>
      </c>
      <c r="AS29" s="788">
        <v>550</v>
      </c>
      <c r="AT29" s="786">
        <v>70</v>
      </c>
      <c r="AU29" s="786">
        <v>30</v>
      </c>
      <c r="AV29" s="786">
        <v>35</v>
      </c>
      <c r="AW29" s="786">
        <v>35</v>
      </c>
      <c r="AX29" s="786">
        <v>20</v>
      </c>
      <c r="AY29" s="786">
        <v>16</v>
      </c>
      <c r="AZ29" s="786">
        <v>15</v>
      </c>
      <c r="BA29" s="786">
        <v>13</v>
      </c>
      <c r="BB29" s="786">
        <v>10</v>
      </c>
      <c r="BC29" s="786">
        <v>10</v>
      </c>
      <c r="BD29" s="786">
        <v>10</v>
      </c>
      <c r="BE29" s="786">
        <v>10</v>
      </c>
      <c r="BF29" s="789">
        <v>10</v>
      </c>
      <c r="BG29" s="790">
        <v>2120</v>
      </c>
      <c r="BH29" s="1399"/>
      <c r="BI29" s="1383"/>
      <c r="BJ29" s="776"/>
      <c r="BK29" s="791"/>
      <c r="BL29" s="792"/>
      <c r="BM29" s="792"/>
    </row>
    <row r="30" spans="1:66" ht="17.25" customHeight="1" x14ac:dyDescent="0.35">
      <c r="A30" s="794"/>
      <c r="B30" s="795"/>
      <c r="C30" s="819" t="s">
        <v>2260</v>
      </c>
      <c r="D30" s="302"/>
      <c r="E30" s="303"/>
      <c r="F30" s="303"/>
      <c r="G30" s="303"/>
      <c r="H30" s="303"/>
      <c r="I30" s="303"/>
      <c r="J30" s="303"/>
      <c r="K30" s="303"/>
      <c r="L30" s="303"/>
      <c r="M30" s="303"/>
      <c r="N30" s="307"/>
      <c r="O30" s="303"/>
      <c r="P30" s="302"/>
      <c r="Q30" s="305"/>
      <c r="R30" s="305"/>
      <c r="S30" s="306"/>
      <c r="T30" s="305"/>
      <c r="U30" s="305"/>
      <c r="V30" s="560"/>
      <c r="W30" s="584"/>
      <c r="X30" s="305"/>
      <c r="Y30" s="307"/>
      <c r="Z30" s="560"/>
      <c r="AA30" s="584"/>
      <c r="AB30" s="305"/>
      <c r="AC30" s="307"/>
      <c r="AD30" s="560"/>
      <c r="AE30" s="584"/>
      <c r="AF30" s="302"/>
      <c r="AG30" s="820"/>
      <c r="AH30" s="881"/>
      <c r="AI30" s="881"/>
      <c r="AJ30" s="800"/>
      <c r="AK30" s="822" t="s">
        <v>529</v>
      </c>
      <c r="AL30" s="802"/>
      <c r="AM30" s="803"/>
      <c r="AN30" s="804"/>
      <c r="AO30" s="803"/>
      <c r="AP30" s="803"/>
      <c r="AQ30" s="803"/>
      <c r="AR30" s="804"/>
      <c r="AS30" s="805"/>
      <c r="AT30" s="803"/>
      <c r="AU30" s="803"/>
      <c r="AV30" s="803"/>
      <c r="AW30" s="803"/>
      <c r="AX30" s="803"/>
      <c r="AY30" s="803"/>
      <c r="AZ30" s="803"/>
      <c r="BA30" s="803"/>
      <c r="BB30" s="803"/>
      <c r="BC30" s="803"/>
      <c r="BD30" s="803"/>
      <c r="BE30" s="803"/>
      <c r="BF30" s="804"/>
      <c r="BG30" s="805"/>
      <c r="BH30" s="302"/>
      <c r="BI30" s="570"/>
      <c r="BJ30" s="881"/>
      <c r="BK30" s="823"/>
      <c r="BL30" s="807"/>
      <c r="BM30" s="807"/>
    </row>
    <row r="31" spans="1:66" ht="125.15" customHeight="1" x14ac:dyDescent="0.35">
      <c r="A31" s="1443">
        <v>10</v>
      </c>
      <c r="B31" s="1358" t="s">
        <v>583</v>
      </c>
      <c r="C31" s="1281" t="s">
        <v>584</v>
      </c>
      <c r="D31" s="1281" t="s">
        <v>585</v>
      </c>
      <c r="E31" s="1360" t="s">
        <v>586</v>
      </c>
      <c r="F31" s="882"/>
      <c r="G31" s="825"/>
      <c r="H31" s="825" t="s">
        <v>587</v>
      </c>
      <c r="I31" s="857"/>
      <c r="J31" s="857"/>
      <c r="K31" s="857"/>
      <c r="L31" s="857"/>
      <c r="M31" s="857"/>
      <c r="N31" s="858"/>
      <c r="O31" s="1281" t="s">
        <v>588</v>
      </c>
      <c r="P31" s="1268" t="s">
        <v>2261</v>
      </c>
      <c r="Q31" s="324" t="s">
        <v>589</v>
      </c>
      <c r="R31" s="324" t="s">
        <v>2187</v>
      </c>
      <c r="S31" s="1268" t="s">
        <v>590</v>
      </c>
      <c r="T31" s="329"/>
      <c r="U31" s="1268" t="s">
        <v>591</v>
      </c>
      <c r="V31" s="1311" t="s">
        <v>592</v>
      </c>
      <c r="W31" s="618"/>
      <c r="X31" s="569" t="s">
        <v>593</v>
      </c>
      <c r="Y31" s="1281" t="s">
        <v>594</v>
      </c>
      <c r="Z31" s="1311" t="s">
        <v>592</v>
      </c>
      <c r="AA31" s="618"/>
      <c r="AB31" s="329"/>
      <c r="AC31" s="1281"/>
      <c r="AD31" s="1306"/>
      <c r="AE31" s="618"/>
      <c r="AF31" s="832"/>
      <c r="AG31" s="883"/>
      <c r="AH31" s="1309">
        <v>10</v>
      </c>
      <c r="AI31" s="1275">
        <v>10</v>
      </c>
      <c r="AJ31" s="1271" t="s">
        <v>583</v>
      </c>
      <c r="AK31" s="1293" t="s">
        <v>595</v>
      </c>
      <c r="AL31" s="600" t="s">
        <v>596</v>
      </c>
      <c r="AM31" s="569" t="s">
        <v>597</v>
      </c>
      <c r="AN31" s="752"/>
      <c r="AO31" s="752"/>
      <c r="AP31" s="329"/>
      <c r="AQ31" s="752"/>
      <c r="AR31" s="884"/>
      <c r="AS31" s="885"/>
      <c r="AT31" s="886"/>
      <c r="AU31" s="886"/>
      <c r="AV31" s="886"/>
      <c r="AW31" s="886"/>
      <c r="AX31" s="886"/>
      <c r="AY31" s="886"/>
      <c r="AZ31" s="886"/>
      <c r="BA31" s="886"/>
      <c r="BB31" s="886"/>
      <c r="BC31" s="886"/>
      <c r="BD31" s="886"/>
      <c r="BE31" s="886"/>
      <c r="BF31" s="887"/>
      <c r="BG31" s="885"/>
      <c r="BH31" s="886"/>
      <c r="BI31" s="888"/>
      <c r="BJ31" s="1432">
        <v>10</v>
      </c>
      <c r="BK31" s="889"/>
      <c r="BL31" s="1316"/>
      <c r="BM31" s="1323"/>
    </row>
    <row r="32" spans="1:66" ht="125.15" customHeight="1" x14ac:dyDescent="0.5">
      <c r="A32" s="1445"/>
      <c r="B32" s="1362"/>
      <c r="C32" s="1302"/>
      <c r="D32" s="1302"/>
      <c r="E32" s="1363"/>
      <c r="F32" s="1355" t="s">
        <v>2262</v>
      </c>
      <c r="G32" s="1356"/>
      <c r="H32" s="1356"/>
      <c r="I32" s="1356"/>
      <c r="J32" s="1356"/>
      <c r="K32" s="1356"/>
      <c r="L32" s="1356"/>
      <c r="M32" s="1356"/>
      <c r="N32" s="1357"/>
      <c r="O32" s="1302"/>
      <c r="P32" s="1269"/>
      <c r="Q32" s="465">
        <v>54000000</v>
      </c>
      <c r="R32" s="465"/>
      <c r="S32" s="1269"/>
      <c r="T32" s="480"/>
      <c r="U32" s="1269"/>
      <c r="V32" s="1334"/>
      <c r="W32" s="611"/>
      <c r="X32" s="664">
        <f>Q32</f>
        <v>54000000</v>
      </c>
      <c r="Y32" s="1302"/>
      <c r="Z32" s="1334"/>
      <c r="AA32" s="610"/>
      <c r="AB32" s="480"/>
      <c r="AC32" s="1302"/>
      <c r="AD32" s="1438"/>
      <c r="AE32" s="610"/>
      <c r="AF32" s="892"/>
      <c r="AG32" s="738" t="s">
        <v>2213</v>
      </c>
      <c r="AH32" s="1442"/>
      <c r="AI32" s="1277"/>
      <c r="AJ32" s="1296"/>
      <c r="AK32" s="1294"/>
      <c r="AL32" s="724">
        <f>Q32*0.85</f>
        <v>45900000</v>
      </c>
      <c r="AM32" s="724">
        <f>Q32*0.15</f>
        <v>8100000</v>
      </c>
      <c r="AN32" s="893"/>
      <c r="AO32" s="893"/>
      <c r="AP32" s="480"/>
      <c r="AQ32" s="893"/>
      <c r="AR32" s="894"/>
      <c r="AS32" s="895"/>
      <c r="AT32" s="893"/>
      <c r="AU32" s="893"/>
      <c r="AV32" s="893"/>
      <c r="AW32" s="893"/>
      <c r="AX32" s="893"/>
      <c r="AY32" s="893"/>
      <c r="AZ32" s="893"/>
      <c r="BA32" s="893"/>
      <c r="BB32" s="893"/>
      <c r="BC32" s="893"/>
      <c r="BD32" s="893"/>
      <c r="BE32" s="893"/>
      <c r="BF32" s="894"/>
      <c r="BG32" s="896"/>
      <c r="BH32" s="893"/>
      <c r="BI32" s="897"/>
      <c r="BJ32" s="1449"/>
      <c r="BK32" s="889"/>
      <c r="BL32" s="1325"/>
      <c r="BM32" s="1409"/>
    </row>
    <row r="33" spans="1:65" ht="125.15" customHeight="1" x14ac:dyDescent="0.35">
      <c r="A33" s="1444"/>
      <c r="B33" s="1359"/>
      <c r="C33" s="1282"/>
      <c r="D33" s="1282"/>
      <c r="E33" s="1361"/>
      <c r="F33" s="1313"/>
      <c r="G33" s="1314"/>
      <c r="H33" s="1314"/>
      <c r="I33" s="1314"/>
      <c r="J33" s="1314"/>
      <c r="K33" s="1314"/>
      <c r="L33" s="1314"/>
      <c r="M33" s="1314"/>
      <c r="N33" s="1315"/>
      <c r="O33" s="1282"/>
      <c r="P33" s="1270"/>
      <c r="Q33" s="477"/>
      <c r="R33" s="477"/>
      <c r="S33" s="1270"/>
      <c r="T33" s="478" t="s">
        <v>598</v>
      </c>
      <c r="U33" s="445"/>
      <c r="V33" s="730" t="s">
        <v>599</v>
      </c>
      <c r="W33" s="598"/>
      <c r="X33" s="478" t="s">
        <v>600</v>
      </c>
      <c r="Y33" s="445" t="s">
        <v>2230</v>
      </c>
      <c r="Z33" s="730" t="s">
        <v>601</v>
      </c>
      <c r="AA33" s="598"/>
      <c r="AB33" s="477"/>
      <c r="AC33" s="445"/>
      <c r="AD33" s="1307"/>
      <c r="AE33" s="598"/>
      <c r="AF33" s="898"/>
      <c r="AG33" s="645">
        <f>Q32</f>
        <v>54000000</v>
      </c>
      <c r="AH33" s="1310"/>
      <c r="AI33" s="1276"/>
      <c r="AJ33" s="1272"/>
      <c r="AK33" s="1295"/>
      <c r="AL33" s="747">
        <f>Q32*0.85</f>
        <v>45900000</v>
      </c>
      <c r="AM33" s="478">
        <f>Q32*0.15</f>
        <v>8100000</v>
      </c>
      <c r="AN33" s="899"/>
      <c r="AO33" s="899"/>
      <c r="AP33" s="477"/>
      <c r="AQ33" s="899"/>
      <c r="AR33" s="900"/>
      <c r="AS33" s="901"/>
      <c r="AT33" s="899"/>
      <c r="AU33" s="899"/>
      <c r="AV33" s="899"/>
      <c r="AW33" s="899"/>
      <c r="AX33" s="899"/>
      <c r="AY33" s="899"/>
      <c r="AZ33" s="899"/>
      <c r="BA33" s="899"/>
      <c r="BB33" s="899"/>
      <c r="BC33" s="899"/>
      <c r="BD33" s="899"/>
      <c r="BE33" s="899"/>
      <c r="BF33" s="900"/>
      <c r="BG33" s="902"/>
      <c r="BH33" s="899"/>
      <c r="BI33" s="903"/>
      <c r="BJ33" s="1433"/>
      <c r="BK33" s="889"/>
      <c r="BL33" s="1317"/>
      <c r="BM33" s="1324"/>
    </row>
    <row r="34" spans="1:65" ht="125.15" customHeight="1" x14ac:dyDescent="0.35">
      <c r="A34" s="1443">
        <v>11</v>
      </c>
      <c r="B34" s="1358" t="s">
        <v>602</v>
      </c>
      <c r="C34" s="1281" t="s">
        <v>2214</v>
      </c>
      <c r="D34" s="1281" t="s">
        <v>604</v>
      </c>
      <c r="E34" s="1360" t="s">
        <v>586</v>
      </c>
      <c r="F34" s="856"/>
      <c r="G34" s="904"/>
      <c r="H34" s="904"/>
      <c r="I34" s="825" t="s">
        <v>587</v>
      </c>
      <c r="J34" s="857"/>
      <c r="K34" s="857"/>
      <c r="L34" s="857"/>
      <c r="M34" s="857"/>
      <c r="N34" s="858"/>
      <c r="O34" s="1281" t="s">
        <v>605</v>
      </c>
      <c r="P34" s="1281" t="s">
        <v>606</v>
      </c>
      <c r="Q34" s="324" t="s">
        <v>607</v>
      </c>
      <c r="R34" s="324"/>
      <c r="S34" s="1268" t="s">
        <v>2263</v>
      </c>
      <c r="T34" s="329"/>
      <c r="U34" s="1268"/>
      <c r="V34" s="1311" t="s">
        <v>610</v>
      </c>
      <c r="W34" s="638"/>
      <c r="X34" s="569" t="s">
        <v>608</v>
      </c>
      <c r="Y34" s="1281" t="s">
        <v>609</v>
      </c>
      <c r="Z34" s="1311" t="s">
        <v>610</v>
      </c>
      <c r="AA34" s="618"/>
      <c r="AB34" s="329"/>
      <c r="AC34" s="1281"/>
      <c r="AD34" s="1311"/>
      <c r="AE34" s="618"/>
      <c r="AF34" s="832"/>
      <c r="AG34" s="812"/>
      <c r="AH34" s="1309">
        <v>11</v>
      </c>
      <c r="AI34" s="1275">
        <v>11</v>
      </c>
      <c r="AJ34" s="1271" t="s">
        <v>602</v>
      </c>
      <c r="AK34" s="1293" t="s">
        <v>603</v>
      </c>
      <c r="AL34" s="734"/>
      <c r="AM34" s="752"/>
      <c r="AN34" s="569" t="s">
        <v>611</v>
      </c>
      <c r="AO34" s="569" t="s">
        <v>611</v>
      </c>
      <c r="AP34" s="569" t="s">
        <v>612</v>
      </c>
      <c r="AQ34" s="752"/>
      <c r="AR34" s="884"/>
      <c r="AS34" s="885"/>
      <c r="AT34" s="886"/>
      <c r="AU34" s="886"/>
      <c r="AV34" s="886"/>
      <c r="AW34" s="886"/>
      <c r="AX34" s="886"/>
      <c r="AY34" s="886"/>
      <c r="AZ34" s="886"/>
      <c r="BA34" s="886"/>
      <c r="BB34" s="886"/>
      <c r="BC34" s="886"/>
      <c r="BD34" s="886"/>
      <c r="BE34" s="886"/>
      <c r="BF34" s="887"/>
      <c r="BG34" s="885"/>
      <c r="BH34" s="886"/>
      <c r="BI34" s="888"/>
      <c r="BJ34" s="1432">
        <v>11</v>
      </c>
      <c r="BK34" s="889"/>
      <c r="BL34" s="1316"/>
      <c r="BM34" s="1323"/>
    </row>
    <row r="35" spans="1:65" ht="125.15" customHeight="1" x14ac:dyDescent="0.35">
      <c r="A35" s="1444"/>
      <c r="B35" s="1359"/>
      <c r="C35" s="1282"/>
      <c r="D35" s="1282"/>
      <c r="E35" s="1361"/>
      <c r="F35" s="1313" t="s">
        <v>2264</v>
      </c>
      <c r="G35" s="1314"/>
      <c r="H35" s="1314"/>
      <c r="I35" s="1314"/>
      <c r="J35" s="1314"/>
      <c r="K35" s="1314"/>
      <c r="L35" s="1314"/>
      <c r="M35" s="1314"/>
      <c r="N35" s="1315"/>
      <c r="O35" s="1282"/>
      <c r="P35" s="1282"/>
      <c r="Q35" s="456">
        <v>2900000</v>
      </c>
      <c r="R35" s="456">
        <v>3578440</v>
      </c>
      <c r="S35" s="1270"/>
      <c r="T35" s="328"/>
      <c r="U35" s="1270"/>
      <c r="V35" s="1312"/>
      <c r="W35" s="637">
        <f>Q35</f>
        <v>2900000</v>
      </c>
      <c r="X35" s="564">
        <f>AN35+AO35+AP35</f>
        <v>2900000</v>
      </c>
      <c r="Y35" s="1282"/>
      <c r="Z35" s="1312"/>
      <c r="AA35" s="598"/>
      <c r="AB35" s="477"/>
      <c r="AC35" s="1282"/>
      <c r="AD35" s="1312"/>
      <c r="AE35" s="598"/>
      <c r="AF35" s="898"/>
      <c r="AG35" s="755"/>
      <c r="AH35" s="1310"/>
      <c r="AI35" s="1276"/>
      <c r="AJ35" s="1272"/>
      <c r="AK35" s="1295"/>
      <c r="AL35" s="905"/>
      <c r="AM35" s="899"/>
      <c r="AN35" s="564"/>
      <c r="AO35" s="564"/>
      <c r="AP35" s="564">
        <f>W35</f>
        <v>2900000</v>
      </c>
      <c r="AQ35" s="899"/>
      <c r="AR35" s="900"/>
      <c r="AS35" s="901"/>
      <c r="AT35" s="899"/>
      <c r="AU35" s="899"/>
      <c r="AV35" s="899"/>
      <c r="AW35" s="899"/>
      <c r="AX35" s="899"/>
      <c r="AY35" s="899"/>
      <c r="AZ35" s="899"/>
      <c r="BA35" s="899"/>
      <c r="BB35" s="899"/>
      <c r="BC35" s="899"/>
      <c r="BD35" s="899"/>
      <c r="BE35" s="899"/>
      <c r="BF35" s="900"/>
      <c r="BG35" s="902"/>
      <c r="BH35" s="899"/>
      <c r="BI35" s="903"/>
      <c r="BJ35" s="1433"/>
      <c r="BK35" s="889"/>
      <c r="BL35" s="1317"/>
      <c r="BM35" s="1324"/>
    </row>
    <row r="36" spans="1:65" ht="125.15" customHeight="1" x14ac:dyDescent="0.35">
      <c r="A36" s="1443">
        <v>12</v>
      </c>
      <c r="B36" s="1358" t="s">
        <v>613</v>
      </c>
      <c r="C36" s="1281" t="s">
        <v>2215</v>
      </c>
      <c r="D36" s="1281" t="s">
        <v>615</v>
      </c>
      <c r="E36" s="1360" t="s">
        <v>586</v>
      </c>
      <c r="F36" s="856"/>
      <c r="G36" s="904"/>
      <c r="H36" s="904"/>
      <c r="I36" s="825" t="s">
        <v>587</v>
      </c>
      <c r="J36" s="857"/>
      <c r="K36" s="857"/>
      <c r="L36" s="857"/>
      <c r="M36" s="857"/>
      <c r="N36" s="858"/>
      <c r="O36" s="1281" t="s">
        <v>616</v>
      </c>
      <c r="P36" s="1281" t="s">
        <v>617</v>
      </c>
      <c r="Q36" s="324" t="s">
        <v>607</v>
      </c>
      <c r="R36" s="324"/>
      <c r="S36" s="1268" t="s">
        <v>618</v>
      </c>
      <c r="T36" s="329"/>
      <c r="U36" s="1268"/>
      <c r="V36" s="1311" t="s">
        <v>610</v>
      </c>
      <c r="W36" s="638"/>
      <c r="X36" s="569" t="s">
        <v>619</v>
      </c>
      <c r="Y36" s="1281" t="s">
        <v>620</v>
      </c>
      <c r="Z36" s="1311" t="s">
        <v>610</v>
      </c>
      <c r="AA36" s="618"/>
      <c r="AB36" s="329"/>
      <c r="AC36" s="1281"/>
      <c r="AD36" s="1311"/>
      <c r="AE36" s="618"/>
      <c r="AF36" s="832"/>
      <c r="AG36" s="812"/>
      <c r="AH36" s="1309">
        <v>12</v>
      </c>
      <c r="AI36" s="1275">
        <v>12</v>
      </c>
      <c r="AJ36" s="1271" t="s">
        <v>613</v>
      </c>
      <c r="AK36" s="1293" t="s">
        <v>614</v>
      </c>
      <c r="AL36" s="734"/>
      <c r="AM36" s="752"/>
      <c r="AN36" s="752"/>
      <c r="AO36" s="752"/>
      <c r="AP36" s="329"/>
      <c r="AQ36" s="569" t="s">
        <v>2184</v>
      </c>
      <c r="AR36" s="884"/>
      <c r="AS36" s="885"/>
      <c r="AT36" s="886"/>
      <c r="AU36" s="886"/>
      <c r="AV36" s="886"/>
      <c r="AW36" s="886"/>
      <c r="AX36" s="886"/>
      <c r="AY36" s="886"/>
      <c r="AZ36" s="886"/>
      <c r="BA36" s="886"/>
      <c r="BB36" s="886"/>
      <c r="BC36" s="886"/>
      <c r="BD36" s="886"/>
      <c r="BE36" s="886"/>
      <c r="BF36" s="887"/>
      <c r="BG36" s="885"/>
      <c r="BH36" s="886"/>
      <c r="BI36" s="888"/>
      <c r="BJ36" s="1432">
        <v>12</v>
      </c>
      <c r="BK36" s="889"/>
      <c r="BL36" s="1316"/>
      <c r="BM36" s="1323"/>
    </row>
    <row r="37" spans="1:65" ht="125.15" customHeight="1" x14ac:dyDescent="0.35">
      <c r="A37" s="1444"/>
      <c r="B37" s="1359"/>
      <c r="C37" s="1282"/>
      <c r="D37" s="1282"/>
      <c r="E37" s="1361"/>
      <c r="F37" s="1313" t="s">
        <v>2265</v>
      </c>
      <c r="G37" s="1314"/>
      <c r="H37" s="1314"/>
      <c r="I37" s="1314"/>
      <c r="J37" s="1314"/>
      <c r="K37" s="1314"/>
      <c r="L37" s="1314"/>
      <c r="M37" s="1314"/>
      <c r="N37" s="1315"/>
      <c r="O37" s="1282"/>
      <c r="P37" s="1282"/>
      <c r="Q37" s="456"/>
      <c r="R37" s="456"/>
      <c r="S37" s="1270"/>
      <c r="T37" s="328"/>
      <c r="U37" s="1270"/>
      <c r="V37" s="1312"/>
      <c r="W37" s="637">
        <f>Q37</f>
        <v>0</v>
      </c>
      <c r="X37" s="564">
        <f>AQ37</f>
        <v>0</v>
      </c>
      <c r="Y37" s="1282"/>
      <c r="Z37" s="1312"/>
      <c r="AA37" s="598"/>
      <c r="AB37" s="477"/>
      <c r="AC37" s="1282"/>
      <c r="AD37" s="1312"/>
      <c r="AE37" s="598"/>
      <c r="AF37" s="898"/>
      <c r="AG37" s="812"/>
      <c r="AH37" s="1310"/>
      <c r="AI37" s="1276"/>
      <c r="AJ37" s="1272"/>
      <c r="AK37" s="1295"/>
      <c r="AL37" s="905"/>
      <c r="AM37" s="899"/>
      <c r="AN37" s="899"/>
      <c r="AO37" s="899"/>
      <c r="AP37" s="477"/>
      <c r="AQ37" s="564"/>
      <c r="AR37" s="900"/>
      <c r="AS37" s="901"/>
      <c r="AT37" s="899"/>
      <c r="AU37" s="899"/>
      <c r="AV37" s="899"/>
      <c r="AW37" s="899"/>
      <c r="AX37" s="899"/>
      <c r="AY37" s="899"/>
      <c r="AZ37" s="899"/>
      <c r="BA37" s="899"/>
      <c r="BB37" s="899"/>
      <c r="BC37" s="899"/>
      <c r="BD37" s="899"/>
      <c r="BE37" s="899"/>
      <c r="BF37" s="900"/>
      <c r="BG37" s="902"/>
      <c r="BH37" s="899"/>
      <c r="BI37" s="903"/>
      <c r="BJ37" s="1433"/>
      <c r="BK37" s="889"/>
      <c r="BL37" s="1317"/>
      <c r="BM37" s="1324"/>
    </row>
    <row r="38" spans="1:65" ht="125.15" customHeight="1" x14ac:dyDescent="0.35">
      <c r="A38" s="1443">
        <v>13</v>
      </c>
      <c r="B38" s="1358" t="s">
        <v>621</v>
      </c>
      <c r="C38" s="1281" t="s">
        <v>2216</v>
      </c>
      <c r="D38" s="1281" t="s">
        <v>623</v>
      </c>
      <c r="E38" s="1360" t="s">
        <v>586</v>
      </c>
      <c r="F38" s="856"/>
      <c r="G38" s="904"/>
      <c r="H38" s="904"/>
      <c r="I38" s="825" t="s">
        <v>587</v>
      </c>
      <c r="J38" s="857"/>
      <c r="K38" s="857"/>
      <c r="L38" s="857"/>
      <c r="M38" s="857"/>
      <c r="N38" s="858"/>
      <c r="O38" s="1281" t="s">
        <v>624</v>
      </c>
      <c r="P38" s="1281" t="s">
        <v>625</v>
      </c>
      <c r="Q38" s="324" t="s">
        <v>607</v>
      </c>
      <c r="R38" s="324"/>
      <c r="S38" s="1268" t="s">
        <v>626</v>
      </c>
      <c r="T38" s="329"/>
      <c r="U38" s="1268"/>
      <c r="V38" s="1311" t="s">
        <v>610</v>
      </c>
      <c r="W38" s="638"/>
      <c r="X38" s="569" t="s">
        <v>627</v>
      </c>
      <c r="Y38" s="1281" t="s">
        <v>628</v>
      </c>
      <c r="Z38" s="1311" t="s">
        <v>610</v>
      </c>
      <c r="AA38" s="618"/>
      <c r="AB38" s="329"/>
      <c r="AC38" s="1281"/>
      <c r="AD38" s="1311"/>
      <c r="AE38" s="618"/>
      <c r="AF38" s="832"/>
      <c r="AG38" s="754"/>
      <c r="AH38" s="1309">
        <v>13</v>
      </c>
      <c r="AI38" s="1275">
        <v>13</v>
      </c>
      <c r="AJ38" s="1271" t="s">
        <v>621</v>
      </c>
      <c r="AK38" s="1293" t="s">
        <v>622</v>
      </c>
      <c r="AL38" s="734"/>
      <c r="AM38" s="752"/>
      <c r="AN38" s="752"/>
      <c r="AO38" s="752"/>
      <c r="AP38" s="329"/>
      <c r="AQ38" s="752"/>
      <c r="AR38" s="643" t="s">
        <v>2185</v>
      </c>
      <c r="AS38" s="885"/>
      <c r="AT38" s="886"/>
      <c r="AU38" s="886"/>
      <c r="AV38" s="886"/>
      <c r="AW38" s="886"/>
      <c r="AX38" s="886"/>
      <c r="AY38" s="886"/>
      <c r="AZ38" s="886"/>
      <c r="BA38" s="886"/>
      <c r="BB38" s="886"/>
      <c r="BC38" s="886"/>
      <c r="BD38" s="886"/>
      <c r="BE38" s="886"/>
      <c r="BF38" s="887"/>
      <c r="BG38" s="885"/>
      <c r="BH38" s="886"/>
      <c r="BI38" s="888"/>
      <c r="BJ38" s="1432">
        <v>13</v>
      </c>
      <c r="BK38" s="889"/>
      <c r="BL38" s="1316"/>
      <c r="BM38" s="1323"/>
    </row>
    <row r="39" spans="1:65" ht="125.15" customHeight="1" x14ac:dyDescent="0.35">
      <c r="A39" s="1444"/>
      <c r="B39" s="1359"/>
      <c r="C39" s="1282"/>
      <c r="D39" s="1282"/>
      <c r="E39" s="1361"/>
      <c r="F39" s="1313" t="s">
        <v>2266</v>
      </c>
      <c r="G39" s="1314"/>
      <c r="H39" s="1314"/>
      <c r="I39" s="1314"/>
      <c r="J39" s="1314"/>
      <c r="K39" s="1314"/>
      <c r="L39" s="1314"/>
      <c r="M39" s="1314"/>
      <c r="N39" s="1315"/>
      <c r="O39" s="1282"/>
      <c r="P39" s="1282"/>
      <c r="Q39" s="456"/>
      <c r="R39" s="456"/>
      <c r="S39" s="1270"/>
      <c r="T39" s="328"/>
      <c r="U39" s="1270"/>
      <c r="V39" s="1312"/>
      <c r="W39" s="637">
        <f>Q39</f>
        <v>0</v>
      </c>
      <c r="X39" s="564">
        <f>AR39</f>
        <v>0</v>
      </c>
      <c r="Y39" s="1282"/>
      <c r="Z39" s="1312"/>
      <c r="AA39" s="598"/>
      <c r="AB39" s="477"/>
      <c r="AC39" s="1282"/>
      <c r="AD39" s="1312"/>
      <c r="AE39" s="598"/>
      <c r="AF39" s="898"/>
      <c r="AG39" s="812"/>
      <c r="AH39" s="1310"/>
      <c r="AI39" s="1276"/>
      <c r="AJ39" s="1272"/>
      <c r="AK39" s="1295"/>
      <c r="AL39" s="905"/>
      <c r="AM39" s="899"/>
      <c r="AN39" s="899"/>
      <c r="AO39" s="899"/>
      <c r="AP39" s="477"/>
      <c r="AQ39" s="899"/>
      <c r="AR39" s="697"/>
      <c r="AS39" s="901"/>
      <c r="AT39" s="899"/>
      <c r="AU39" s="899"/>
      <c r="AV39" s="899"/>
      <c r="AW39" s="899"/>
      <c r="AX39" s="899"/>
      <c r="AY39" s="899"/>
      <c r="AZ39" s="899"/>
      <c r="BA39" s="899"/>
      <c r="BB39" s="899"/>
      <c r="BC39" s="899"/>
      <c r="BD39" s="899"/>
      <c r="BE39" s="899"/>
      <c r="BF39" s="900"/>
      <c r="BG39" s="902"/>
      <c r="BH39" s="899"/>
      <c r="BI39" s="903"/>
      <c r="BJ39" s="1433"/>
      <c r="BK39" s="860"/>
      <c r="BL39" s="1317"/>
      <c r="BM39" s="1324"/>
    </row>
    <row r="40" spans="1:65" ht="17.25" customHeight="1" x14ac:dyDescent="0.35">
      <c r="A40" s="818"/>
      <c r="B40" s="795"/>
      <c r="C40" s="819" t="s">
        <v>629</v>
      </c>
      <c r="D40" s="302"/>
      <c r="E40" s="303"/>
      <c r="F40" s="303"/>
      <c r="G40" s="303"/>
      <c r="H40" s="303"/>
      <c r="I40" s="303"/>
      <c r="J40" s="303"/>
      <c r="K40" s="303"/>
      <c r="L40" s="303"/>
      <c r="M40" s="303"/>
      <c r="N40" s="307"/>
      <c r="O40" s="303"/>
      <c r="P40" s="302"/>
      <c r="Q40" s="305"/>
      <c r="R40" s="305"/>
      <c r="S40" s="306"/>
      <c r="T40" s="305"/>
      <c r="U40" s="305"/>
      <c r="V40" s="560"/>
      <c r="W40" s="584"/>
      <c r="X40" s="305"/>
      <c r="Y40" s="307"/>
      <c r="Z40" s="560"/>
      <c r="AA40" s="584"/>
      <c r="AB40" s="305"/>
      <c r="AC40" s="307"/>
      <c r="AD40" s="560"/>
      <c r="AE40" s="584"/>
      <c r="AF40" s="302"/>
      <c r="AG40" s="820"/>
      <c r="AH40" s="821"/>
      <c r="AI40" s="821"/>
      <c r="AJ40" s="800"/>
      <c r="AK40" s="822" t="s">
        <v>629</v>
      </c>
      <c r="AL40" s="802"/>
      <c r="AM40" s="803"/>
      <c r="AN40" s="804"/>
      <c r="AO40" s="803"/>
      <c r="AP40" s="803"/>
      <c r="AQ40" s="803"/>
      <c r="AR40" s="804"/>
      <c r="AS40" s="805"/>
      <c r="AT40" s="803"/>
      <c r="AU40" s="803"/>
      <c r="AV40" s="803"/>
      <c r="AW40" s="803"/>
      <c r="AX40" s="803"/>
      <c r="AY40" s="803"/>
      <c r="AZ40" s="803"/>
      <c r="BA40" s="803"/>
      <c r="BB40" s="803"/>
      <c r="BC40" s="803"/>
      <c r="BD40" s="803"/>
      <c r="BE40" s="803"/>
      <c r="BF40" s="804"/>
      <c r="BG40" s="805"/>
      <c r="BH40" s="302"/>
      <c r="BI40" s="570"/>
      <c r="BJ40" s="821"/>
      <c r="BK40" s="860"/>
      <c r="BL40" s="807"/>
      <c r="BM40" s="807"/>
    </row>
    <row r="41" spans="1:65" ht="125.15" customHeight="1" x14ac:dyDescent="0.35">
      <c r="A41" s="1443">
        <v>15</v>
      </c>
      <c r="B41" s="1358" t="s">
        <v>2267</v>
      </c>
      <c r="C41" s="1281" t="s">
        <v>633</v>
      </c>
      <c r="D41" s="1281" t="s">
        <v>630</v>
      </c>
      <c r="E41" s="1360" t="s">
        <v>631</v>
      </c>
      <c r="F41" s="856"/>
      <c r="G41" s="857"/>
      <c r="H41" s="857"/>
      <c r="I41" s="857"/>
      <c r="J41" s="857"/>
      <c r="K41" s="857"/>
      <c r="L41" s="857"/>
      <c r="M41" s="857"/>
      <c r="N41" s="858"/>
      <c r="O41" s="1281" t="s">
        <v>634</v>
      </c>
      <c r="P41" s="1281" t="s">
        <v>2223</v>
      </c>
      <c r="Q41" s="324"/>
      <c r="R41" s="324"/>
      <c r="S41" s="1268" t="s">
        <v>2222</v>
      </c>
      <c r="T41" s="329"/>
      <c r="U41" s="1268"/>
      <c r="V41" s="1279" t="s">
        <v>2210</v>
      </c>
      <c r="W41" s="638"/>
      <c r="X41" s="569"/>
      <c r="Y41" s="1281" t="s">
        <v>635</v>
      </c>
      <c r="Z41" s="1279" t="s">
        <v>2227</v>
      </c>
      <c r="AA41" s="618"/>
      <c r="AB41" s="569" t="s">
        <v>636</v>
      </c>
      <c r="AC41" s="1281"/>
      <c r="AD41" s="1279" t="s">
        <v>637</v>
      </c>
      <c r="AE41" s="618"/>
      <c r="AF41" s="832"/>
      <c r="AG41" s="754"/>
      <c r="AH41" s="1309">
        <v>15</v>
      </c>
      <c r="AI41" s="1275">
        <v>15</v>
      </c>
      <c r="AJ41" s="1271" t="s">
        <v>638</v>
      </c>
      <c r="AK41" s="1281" t="s">
        <v>633</v>
      </c>
      <c r="AL41" s="833"/>
      <c r="AM41" s="727"/>
      <c r="AN41" s="727"/>
      <c r="AO41" s="727"/>
      <c r="AP41" s="727" t="s">
        <v>636</v>
      </c>
      <c r="AQ41" s="727"/>
      <c r="AR41" s="732"/>
      <c r="AS41" s="834" t="s">
        <v>636</v>
      </c>
      <c r="AT41" s="727" t="s">
        <v>636</v>
      </c>
      <c r="AU41" s="727" t="s">
        <v>636</v>
      </c>
      <c r="AV41" s="727" t="s">
        <v>636</v>
      </c>
      <c r="AW41" s="727" t="s">
        <v>636</v>
      </c>
      <c r="AX41" s="727" t="s">
        <v>636</v>
      </c>
      <c r="AY41" s="727" t="s">
        <v>636</v>
      </c>
      <c r="AZ41" s="727" t="s">
        <v>636</v>
      </c>
      <c r="BA41" s="727" t="s">
        <v>636</v>
      </c>
      <c r="BB41" s="727" t="s">
        <v>636</v>
      </c>
      <c r="BC41" s="727" t="s">
        <v>636</v>
      </c>
      <c r="BD41" s="727" t="s">
        <v>636</v>
      </c>
      <c r="BE41" s="727" t="s">
        <v>636</v>
      </c>
      <c r="BF41" s="732" t="s">
        <v>636</v>
      </c>
      <c r="BG41" s="834" t="s">
        <v>636</v>
      </c>
      <c r="BH41" s="727" t="s">
        <v>636</v>
      </c>
      <c r="BI41" s="888"/>
      <c r="BJ41" s="1432">
        <v>15</v>
      </c>
      <c r="BK41" s="860"/>
      <c r="BL41" s="1316"/>
      <c r="BM41" s="1323"/>
    </row>
    <row r="42" spans="1:65" ht="300" customHeight="1" x14ac:dyDescent="0.35">
      <c r="A42" s="1444"/>
      <c r="B42" s="1359"/>
      <c r="C42" s="1282"/>
      <c r="D42" s="1282"/>
      <c r="E42" s="1361"/>
      <c r="F42" s="1313" t="s">
        <v>639</v>
      </c>
      <c r="G42" s="1314"/>
      <c r="H42" s="1314"/>
      <c r="I42" s="1314"/>
      <c r="J42" s="1314"/>
      <c r="K42" s="1314"/>
      <c r="L42" s="1314"/>
      <c r="M42" s="1314"/>
      <c r="N42" s="1315"/>
      <c r="O42" s="1282"/>
      <c r="P42" s="1282"/>
      <c r="Q42" s="456">
        <f>SUM(AL42:BH42)</f>
        <v>43494823</v>
      </c>
      <c r="R42" s="456">
        <v>49137538</v>
      </c>
      <c r="S42" s="1270"/>
      <c r="T42" s="328"/>
      <c r="U42" s="1270"/>
      <c r="V42" s="1280"/>
      <c r="W42" s="637">
        <f>Q42</f>
        <v>43494823</v>
      </c>
      <c r="X42" s="564">
        <f>Q42</f>
        <v>43494823</v>
      </c>
      <c r="Y42" s="1282"/>
      <c r="Z42" s="1280"/>
      <c r="AA42" s="598"/>
      <c r="AB42" s="906"/>
      <c r="AC42" s="1282"/>
      <c r="AD42" s="1280"/>
      <c r="AE42" s="598"/>
      <c r="AF42" s="898"/>
      <c r="AG42" s="812"/>
      <c r="AH42" s="1310"/>
      <c r="AI42" s="1276"/>
      <c r="AJ42" s="1272"/>
      <c r="AK42" s="1282"/>
      <c r="AL42" s="731">
        <v>21500000</v>
      </c>
      <c r="AM42" s="907">
        <v>3794823</v>
      </c>
      <c r="AN42" s="907">
        <f>2800*AN4</f>
        <v>7280000</v>
      </c>
      <c r="AO42" s="907">
        <f>2800*AO4</f>
        <v>2100000</v>
      </c>
      <c r="AP42" s="906"/>
      <c r="AQ42" s="907">
        <f>2800*AQ4</f>
        <v>5880000</v>
      </c>
      <c r="AR42" s="705">
        <f>2800*AR4</f>
        <v>2940000</v>
      </c>
      <c r="AS42" s="908"/>
      <c r="AT42" s="906"/>
      <c r="AU42" s="906"/>
      <c r="AV42" s="906"/>
      <c r="AW42" s="906"/>
      <c r="AX42" s="906"/>
      <c r="AY42" s="906"/>
      <c r="AZ42" s="906"/>
      <c r="BA42" s="906"/>
      <c r="BB42" s="906"/>
      <c r="BC42" s="906"/>
      <c r="BD42" s="906"/>
      <c r="BE42" s="906"/>
      <c r="BF42" s="909"/>
      <c r="BG42" s="908"/>
      <c r="BH42" s="906"/>
      <c r="BI42" s="903"/>
      <c r="BJ42" s="1433"/>
      <c r="BK42" s="860"/>
      <c r="BL42" s="1317"/>
      <c r="BM42" s="1324"/>
    </row>
    <row r="43" spans="1:65" ht="125.15" customHeight="1" x14ac:dyDescent="0.35">
      <c r="A43" s="1443">
        <v>16</v>
      </c>
      <c r="B43" s="1358" t="s">
        <v>640</v>
      </c>
      <c r="C43" s="1281" t="s">
        <v>641</v>
      </c>
      <c r="D43" s="1281" t="s">
        <v>630</v>
      </c>
      <c r="E43" s="1379"/>
      <c r="F43" s="856"/>
      <c r="G43" s="857"/>
      <c r="H43" s="857"/>
      <c r="I43" s="857"/>
      <c r="J43" s="857"/>
      <c r="K43" s="857"/>
      <c r="L43" s="857"/>
      <c r="M43" s="857"/>
      <c r="N43" s="858"/>
      <c r="O43" s="1281" t="s">
        <v>642</v>
      </c>
      <c r="P43" s="1281" t="s">
        <v>643</v>
      </c>
      <c r="Q43" s="324"/>
      <c r="R43" s="324" t="s">
        <v>2187</v>
      </c>
      <c r="S43" s="1268" t="s">
        <v>644</v>
      </c>
      <c r="T43" s="329"/>
      <c r="U43" s="1268"/>
      <c r="V43" s="1279"/>
      <c r="W43" s="638"/>
      <c r="X43" s="569" t="s">
        <v>645</v>
      </c>
      <c r="Y43" s="1281" t="s">
        <v>646</v>
      </c>
      <c r="Z43" s="1279"/>
      <c r="AA43" s="618"/>
      <c r="AB43" s="569" t="s">
        <v>645</v>
      </c>
      <c r="AC43" s="1281"/>
      <c r="AD43" s="1279"/>
      <c r="AE43" s="618"/>
      <c r="AF43" s="832"/>
      <c r="AG43" s="754"/>
      <c r="AH43" s="1309">
        <v>16</v>
      </c>
      <c r="AI43" s="1275">
        <v>16</v>
      </c>
      <c r="AJ43" s="1271" t="s">
        <v>640</v>
      </c>
      <c r="AK43" s="1293" t="s">
        <v>641</v>
      </c>
      <c r="AL43" s="833"/>
      <c r="AM43" s="727"/>
      <c r="AN43" s="727" t="s">
        <v>645</v>
      </c>
      <c r="AO43" s="727" t="s">
        <v>645</v>
      </c>
      <c r="AP43" s="727" t="s">
        <v>645</v>
      </c>
      <c r="AQ43" s="727" t="s">
        <v>645</v>
      </c>
      <c r="AR43" s="732" t="s">
        <v>645</v>
      </c>
      <c r="AS43" s="834" t="s">
        <v>645</v>
      </c>
      <c r="AT43" s="886"/>
      <c r="AU43" s="886"/>
      <c r="AV43" s="886"/>
      <c r="AW43" s="886"/>
      <c r="AX43" s="886"/>
      <c r="AY43" s="886"/>
      <c r="AZ43" s="886"/>
      <c r="BA43" s="886"/>
      <c r="BB43" s="886"/>
      <c r="BC43" s="886"/>
      <c r="BD43" s="886"/>
      <c r="BE43" s="886"/>
      <c r="BF43" s="887"/>
      <c r="BG43" s="834" t="s">
        <v>645</v>
      </c>
      <c r="BH43" s="727" t="s">
        <v>645</v>
      </c>
      <c r="BI43" s="888"/>
      <c r="BJ43" s="1432">
        <v>16</v>
      </c>
      <c r="BK43" s="860"/>
      <c r="BL43" s="1316"/>
      <c r="BM43" s="1316"/>
    </row>
    <row r="44" spans="1:65" ht="125.15" customHeight="1" thickBot="1" x14ac:dyDescent="0.4">
      <c r="A44" s="1444"/>
      <c r="B44" s="1359"/>
      <c r="C44" s="1282"/>
      <c r="D44" s="1282"/>
      <c r="E44" s="1381"/>
      <c r="F44" s="1313" t="s">
        <v>647</v>
      </c>
      <c r="G44" s="1314"/>
      <c r="H44" s="1314"/>
      <c r="I44" s="1314"/>
      <c r="J44" s="1314"/>
      <c r="K44" s="1314"/>
      <c r="L44" s="1314"/>
      <c r="M44" s="1314"/>
      <c r="N44" s="1315"/>
      <c r="O44" s="1282"/>
      <c r="P44" s="1282"/>
      <c r="Q44" s="456">
        <f>250000+25000</f>
        <v>275000</v>
      </c>
      <c r="R44" s="456"/>
      <c r="S44" s="1270"/>
      <c r="T44" s="328"/>
      <c r="U44" s="1270"/>
      <c r="V44" s="1280"/>
      <c r="W44" s="637">
        <f>Q44</f>
        <v>275000</v>
      </c>
      <c r="X44" s="564">
        <f>W44</f>
        <v>275000</v>
      </c>
      <c r="Y44" s="1301"/>
      <c r="Z44" s="1280"/>
      <c r="AA44" s="598"/>
      <c r="AB44" s="906"/>
      <c r="AC44" s="1282"/>
      <c r="AD44" s="1280"/>
      <c r="AE44" s="598"/>
      <c r="AF44" s="898"/>
      <c r="AG44" s="812"/>
      <c r="AH44" s="1310"/>
      <c r="AI44" s="1276"/>
      <c r="AJ44" s="1272"/>
      <c r="AK44" s="1295"/>
      <c r="AL44" s="731">
        <f>Q44*'Apportionment %'!G53</f>
        <v>249999.9975</v>
      </c>
      <c r="AM44" s="731">
        <f>Q44*'Apportionment %'!H53</f>
        <v>24999.999749999999</v>
      </c>
      <c r="AN44" s="906"/>
      <c r="AO44" s="906"/>
      <c r="AP44" s="906"/>
      <c r="AQ44" s="906"/>
      <c r="AR44" s="909"/>
      <c r="AS44" s="908"/>
      <c r="AT44" s="899"/>
      <c r="AU44" s="899"/>
      <c r="AV44" s="899"/>
      <c r="AW44" s="899"/>
      <c r="AX44" s="899"/>
      <c r="AY44" s="899"/>
      <c r="AZ44" s="899"/>
      <c r="BA44" s="899"/>
      <c r="BB44" s="899"/>
      <c r="BC44" s="899"/>
      <c r="BD44" s="899"/>
      <c r="BE44" s="899"/>
      <c r="BF44" s="900"/>
      <c r="BG44" s="908"/>
      <c r="BH44" s="906"/>
      <c r="BI44" s="903"/>
      <c r="BJ44" s="1433"/>
      <c r="BK44" s="860"/>
      <c r="BL44" s="1317"/>
      <c r="BM44" s="1317"/>
    </row>
    <row r="45" spans="1:65" ht="17.25" customHeight="1" x14ac:dyDescent="0.35">
      <c r="A45" s="818"/>
      <c r="B45" s="795"/>
      <c r="C45" s="819" t="s">
        <v>648</v>
      </c>
      <c r="D45" s="302"/>
      <c r="E45" s="555"/>
      <c r="F45" s="303"/>
      <c r="G45" s="303"/>
      <c r="H45" s="303"/>
      <c r="I45" s="303"/>
      <c r="J45" s="303"/>
      <c r="K45" s="303"/>
      <c r="L45" s="303"/>
      <c r="M45" s="303"/>
      <c r="N45" s="307"/>
      <c r="O45" s="303"/>
      <c r="P45" s="302"/>
      <c r="Q45" s="305"/>
      <c r="R45" s="305"/>
      <c r="S45" s="306"/>
      <c r="T45" s="305"/>
      <c r="U45" s="305"/>
      <c r="V45" s="560"/>
      <c r="W45" s="584"/>
      <c r="X45" s="305"/>
      <c r="Y45" s="307"/>
      <c r="Z45" s="560"/>
      <c r="AA45" s="584"/>
      <c r="AB45" s="305"/>
      <c r="AC45" s="307"/>
      <c r="AD45" s="560"/>
      <c r="AE45" s="584"/>
      <c r="AF45" s="302"/>
      <c r="AG45" s="820"/>
      <c r="AH45" s="821"/>
      <c r="AI45" s="821"/>
      <c r="AJ45" s="800"/>
      <c r="AK45" s="822" t="s">
        <v>648</v>
      </c>
      <c r="AL45" s="802"/>
      <c r="AM45" s="803"/>
      <c r="AN45" s="804"/>
      <c r="AO45" s="803"/>
      <c r="AP45" s="803"/>
      <c r="AQ45" s="803"/>
      <c r="AR45" s="804"/>
      <c r="AS45" s="805"/>
      <c r="AT45" s="803"/>
      <c r="AU45" s="803"/>
      <c r="AV45" s="803"/>
      <c r="AW45" s="803"/>
      <c r="AX45" s="803"/>
      <c r="AY45" s="803"/>
      <c r="AZ45" s="803"/>
      <c r="BA45" s="803"/>
      <c r="BB45" s="803"/>
      <c r="BC45" s="803"/>
      <c r="BD45" s="803"/>
      <c r="BE45" s="803"/>
      <c r="BF45" s="804"/>
      <c r="BG45" s="805"/>
      <c r="BH45" s="302"/>
      <c r="BI45" s="570"/>
      <c r="BJ45" s="821"/>
      <c r="BK45" s="860"/>
      <c r="BL45" s="910"/>
      <c r="BM45" s="807"/>
    </row>
    <row r="46" spans="1:65" ht="125.15" customHeight="1" x14ac:dyDescent="0.35">
      <c r="A46" s="1443">
        <v>17</v>
      </c>
      <c r="B46" s="1358" t="s">
        <v>649</v>
      </c>
      <c r="C46" s="1281" t="s">
        <v>650</v>
      </c>
      <c r="D46" s="1281" t="s">
        <v>651</v>
      </c>
      <c r="E46" s="1379"/>
      <c r="F46" s="856"/>
      <c r="G46" s="857"/>
      <c r="H46" s="857"/>
      <c r="I46" s="857"/>
      <c r="J46" s="857"/>
      <c r="K46" s="857"/>
      <c r="L46" s="857"/>
      <c r="M46" s="857"/>
      <c r="N46" s="858"/>
      <c r="O46" s="1281" t="s">
        <v>652</v>
      </c>
      <c r="P46" s="1281" t="s">
        <v>653</v>
      </c>
      <c r="Q46" s="324" t="s">
        <v>654</v>
      </c>
      <c r="R46" s="324"/>
      <c r="S46" s="1268" t="s">
        <v>655</v>
      </c>
      <c r="T46" s="329"/>
      <c r="U46" s="1268" t="s">
        <v>656</v>
      </c>
      <c r="V46" s="1279" t="s">
        <v>539</v>
      </c>
      <c r="W46" s="638"/>
      <c r="X46" s="727" t="s">
        <v>645</v>
      </c>
      <c r="Y46" s="1281" t="s">
        <v>657</v>
      </c>
      <c r="Z46" s="1279" t="s">
        <v>540</v>
      </c>
      <c r="AA46" s="638"/>
      <c r="AB46" s="727" t="s">
        <v>645</v>
      </c>
      <c r="AC46" s="1281"/>
      <c r="AD46" s="1279" t="s">
        <v>540</v>
      </c>
      <c r="AE46" s="638"/>
      <c r="AF46" s="1268" t="s">
        <v>658</v>
      </c>
      <c r="AG46" s="812"/>
      <c r="AH46" s="1309">
        <v>17</v>
      </c>
      <c r="AI46" s="1275">
        <v>17</v>
      </c>
      <c r="AJ46" s="1271" t="s">
        <v>649</v>
      </c>
      <c r="AK46" s="1293" t="s">
        <v>659</v>
      </c>
      <c r="AL46" s="734"/>
      <c r="AM46" s="752"/>
      <c r="AN46" s="752"/>
      <c r="AO46" s="752"/>
      <c r="AP46" s="329"/>
      <c r="AQ46" s="752"/>
      <c r="AR46" s="884"/>
      <c r="AS46" s="834" t="s">
        <v>645</v>
      </c>
      <c r="AT46" s="886"/>
      <c r="AU46" s="886"/>
      <c r="AV46" s="886"/>
      <c r="AW46" s="886"/>
      <c r="AX46" s="886"/>
      <c r="AY46" s="886"/>
      <c r="AZ46" s="886"/>
      <c r="BA46" s="886"/>
      <c r="BB46" s="727" t="s">
        <v>645</v>
      </c>
      <c r="BC46" s="727" t="s">
        <v>645</v>
      </c>
      <c r="BD46" s="886"/>
      <c r="BE46" s="886"/>
      <c r="BF46" s="732" t="s">
        <v>645</v>
      </c>
      <c r="BG46" s="834" t="s">
        <v>645</v>
      </c>
      <c r="BH46" s="727" t="s">
        <v>645</v>
      </c>
      <c r="BI46" s="888"/>
      <c r="BJ46" s="1432">
        <v>17</v>
      </c>
      <c r="BK46" s="860"/>
      <c r="BL46" s="1316"/>
      <c r="BM46" s="1316"/>
    </row>
    <row r="47" spans="1:65" ht="125.15" customHeight="1" thickBot="1" x14ac:dyDescent="0.4">
      <c r="A47" s="1444"/>
      <c r="B47" s="1367"/>
      <c r="C47" s="1301"/>
      <c r="D47" s="1301"/>
      <c r="E47" s="1380"/>
      <c r="F47" s="1364" t="s">
        <v>660</v>
      </c>
      <c r="G47" s="1365"/>
      <c r="H47" s="1365"/>
      <c r="I47" s="1365"/>
      <c r="J47" s="1365"/>
      <c r="K47" s="1365"/>
      <c r="L47" s="1365"/>
      <c r="M47" s="1365"/>
      <c r="N47" s="1366"/>
      <c r="O47" s="1301"/>
      <c r="P47" s="1301"/>
      <c r="Q47" s="614">
        <f>Indexation!J19</f>
        <v>768258.4</v>
      </c>
      <c r="R47" s="614">
        <v>886959</v>
      </c>
      <c r="S47" s="1278"/>
      <c r="T47" s="603"/>
      <c r="U47" s="1278"/>
      <c r="V47" s="1280"/>
      <c r="W47" s="659">
        <f>Q47</f>
        <v>768258.4</v>
      </c>
      <c r="X47" s="911"/>
      <c r="Y47" s="1301"/>
      <c r="Z47" s="1280"/>
      <c r="AA47" s="659">
        <f>W47</f>
        <v>768258.4</v>
      </c>
      <c r="AB47" s="911"/>
      <c r="AC47" s="1301"/>
      <c r="AD47" s="1280"/>
      <c r="AE47" s="659">
        <f>AA47</f>
        <v>768258.4</v>
      </c>
      <c r="AF47" s="1278"/>
      <c r="AG47" s="861"/>
      <c r="AH47" s="1310"/>
      <c r="AI47" s="1276"/>
      <c r="AJ47" s="1297"/>
      <c r="AK47" s="1300"/>
      <c r="AL47" s="912"/>
      <c r="AM47" s="913"/>
      <c r="AN47" s="913"/>
      <c r="AO47" s="913"/>
      <c r="AP47" s="619"/>
      <c r="AQ47" s="913"/>
      <c r="AR47" s="914"/>
      <c r="AS47" s="915"/>
      <c r="AT47" s="913"/>
      <c r="AU47" s="913"/>
      <c r="AV47" s="913"/>
      <c r="AW47" s="913"/>
      <c r="AX47" s="913"/>
      <c r="AY47" s="913"/>
      <c r="AZ47" s="913"/>
      <c r="BA47" s="913"/>
      <c r="BB47" s="911"/>
      <c r="BC47" s="911"/>
      <c r="BD47" s="913"/>
      <c r="BE47" s="913"/>
      <c r="BF47" s="916"/>
      <c r="BG47" s="915"/>
      <c r="BH47" s="911"/>
      <c r="BI47" s="917"/>
      <c r="BJ47" s="1433"/>
      <c r="BK47" s="860"/>
      <c r="BL47" s="1317"/>
      <c r="BM47" s="1317"/>
    </row>
    <row r="48" spans="1:65" s="758" customFormat="1" ht="15" customHeight="1" x14ac:dyDescent="0.35">
      <c r="A48" s="862"/>
      <c r="B48" s="863" t="s">
        <v>449</v>
      </c>
      <c r="C48" s="863" t="s">
        <v>450</v>
      </c>
      <c r="D48" s="863" t="s">
        <v>451</v>
      </c>
      <c r="E48" s="863" t="s">
        <v>452</v>
      </c>
      <c r="F48" s="864"/>
      <c r="G48" s="865"/>
      <c r="H48" s="865"/>
      <c r="I48" s="865"/>
      <c r="J48" s="865" t="s">
        <v>453</v>
      </c>
      <c r="K48" s="865"/>
      <c r="L48" s="865"/>
      <c r="M48" s="865"/>
      <c r="N48" s="866"/>
      <c r="O48" s="863" t="s">
        <v>454</v>
      </c>
      <c r="P48" s="863" t="s">
        <v>455</v>
      </c>
      <c r="Q48" s="863" t="s">
        <v>456</v>
      </c>
      <c r="R48" s="863"/>
      <c r="S48" s="863" t="s">
        <v>457</v>
      </c>
      <c r="T48" s="863" t="s">
        <v>458</v>
      </c>
      <c r="U48" s="863" t="s">
        <v>459</v>
      </c>
      <c r="V48" s="863" t="s">
        <v>460</v>
      </c>
      <c r="W48" s="863" t="s">
        <v>461</v>
      </c>
      <c r="X48" s="863" t="s">
        <v>242</v>
      </c>
      <c r="Y48" s="863" t="s">
        <v>462</v>
      </c>
      <c r="Z48" s="863" t="s">
        <v>463</v>
      </c>
      <c r="AA48" s="863" t="s">
        <v>464</v>
      </c>
      <c r="AB48" s="863" t="s">
        <v>465</v>
      </c>
      <c r="AC48" s="863" t="s">
        <v>466</v>
      </c>
      <c r="AD48" s="863" t="s">
        <v>467</v>
      </c>
      <c r="AE48" s="863" t="s">
        <v>468</v>
      </c>
      <c r="AF48" s="863" t="s">
        <v>469</v>
      </c>
      <c r="AG48" s="863" t="s">
        <v>470</v>
      </c>
      <c r="AJ48" s="863" t="s">
        <v>449</v>
      </c>
      <c r="AK48" s="863" t="s">
        <v>450</v>
      </c>
      <c r="AL48" s="863" t="s">
        <v>471</v>
      </c>
      <c r="AM48" s="867" t="s">
        <v>472</v>
      </c>
      <c r="AN48" s="863" t="s">
        <v>473</v>
      </c>
      <c r="AO48" s="863" t="s">
        <v>474</v>
      </c>
      <c r="AP48" s="863" t="s">
        <v>475</v>
      </c>
      <c r="AQ48" s="863" t="s">
        <v>476</v>
      </c>
      <c r="AR48" s="863" t="s">
        <v>477</v>
      </c>
      <c r="AS48" s="863" t="s">
        <v>478</v>
      </c>
      <c r="AT48" s="863" t="s">
        <v>479</v>
      </c>
      <c r="AU48" s="863" t="s">
        <v>480</v>
      </c>
      <c r="AV48" s="863" t="s">
        <v>481</v>
      </c>
      <c r="AW48" s="863" t="s">
        <v>482</v>
      </c>
      <c r="AX48" s="863" t="s">
        <v>483</v>
      </c>
      <c r="AY48" s="863" t="s">
        <v>484</v>
      </c>
      <c r="AZ48" s="863" t="s">
        <v>485</v>
      </c>
      <c r="BA48" s="863" t="s">
        <v>486</v>
      </c>
      <c r="BB48" s="863" t="s">
        <v>487</v>
      </c>
      <c r="BC48" s="863" t="s">
        <v>488</v>
      </c>
      <c r="BD48" s="863" t="s">
        <v>489</v>
      </c>
      <c r="BE48" s="863" t="s">
        <v>490</v>
      </c>
      <c r="BF48" s="863" t="s">
        <v>491</v>
      </c>
      <c r="BG48" s="867" t="s">
        <v>492</v>
      </c>
      <c r="BH48" s="863" t="s">
        <v>493</v>
      </c>
      <c r="BI48" s="863" t="s">
        <v>494</v>
      </c>
      <c r="BJ48" s="868"/>
    </row>
    <row r="49" spans="1:66" ht="39.9" customHeight="1" x14ac:dyDescent="0.35">
      <c r="B49" s="1405" t="s">
        <v>448</v>
      </c>
      <c r="C49" s="1406"/>
      <c r="D49" s="1406"/>
      <c r="E49" s="1406"/>
      <c r="F49" s="1406"/>
      <c r="G49" s="1406"/>
      <c r="H49" s="1406"/>
      <c r="I49" s="1406"/>
      <c r="J49" s="1406"/>
      <c r="K49" s="1406"/>
      <c r="L49" s="1406"/>
      <c r="M49" s="1406"/>
      <c r="N49" s="1406"/>
      <c r="O49" s="1406"/>
      <c r="P49" s="1406"/>
      <c r="Q49" s="1406"/>
      <c r="R49" s="1406"/>
      <c r="S49" s="1406"/>
      <c r="T49" s="1406"/>
      <c r="U49" s="1406"/>
      <c r="V49" s="1406"/>
      <c r="W49" s="1406"/>
      <c r="X49" s="1406"/>
      <c r="Y49" s="1406"/>
      <c r="Z49" s="1406"/>
      <c r="AA49" s="1406"/>
      <c r="AB49" s="1406"/>
      <c r="AC49" s="1406"/>
      <c r="AD49" s="1406"/>
      <c r="AE49" s="1406"/>
      <c r="AF49" s="1406"/>
      <c r="AG49" s="1407"/>
      <c r="AJ49" s="1405" t="s">
        <v>448</v>
      </c>
      <c r="AK49" s="1406"/>
      <c r="AL49" s="1406"/>
      <c r="AM49" s="1406"/>
      <c r="AN49" s="1406"/>
      <c r="AO49" s="1406"/>
      <c r="AP49" s="1406"/>
      <c r="AQ49" s="1406"/>
      <c r="AR49" s="1406"/>
      <c r="AS49" s="1406"/>
      <c r="AT49" s="1406"/>
      <c r="AU49" s="1406"/>
      <c r="AV49" s="1406"/>
      <c r="AW49" s="1406"/>
      <c r="AX49" s="1406"/>
      <c r="AY49" s="1406"/>
      <c r="AZ49" s="1406"/>
      <c r="BA49" s="1406"/>
      <c r="BB49" s="1406"/>
      <c r="BC49" s="1406"/>
      <c r="BD49" s="1406"/>
      <c r="BE49" s="1406"/>
      <c r="BF49" s="1406"/>
      <c r="BG49" s="1406"/>
      <c r="BH49" s="1406"/>
      <c r="BI49" s="1407"/>
      <c r="BJ49" s="759"/>
      <c r="BK49" s="760"/>
      <c r="BL49" s="760"/>
      <c r="BM49" s="760"/>
      <c r="BN49" s="760"/>
    </row>
    <row r="50" spans="1:66" s="758" customFormat="1" ht="15" customHeight="1" thickBot="1" x14ac:dyDescent="0.4">
      <c r="B50" s="869" t="s">
        <v>449</v>
      </c>
      <c r="C50" s="869" t="s">
        <v>450</v>
      </c>
      <c r="D50" s="869" t="s">
        <v>451</v>
      </c>
      <c r="E50" s="869" t="s">
        <v>452</v>
      </c>
      <c r="F50" s="870"/>
      <c r="G50" s="871"/>
      <c r="H50" s="871"/>
      <c r="I50" s="871"/>
      <c r="J50" s="871" t="s">
        <v>453</v>
      </c>
      <c r="K50" s="871"/>
      <c r="L50" s="871"/>
      <c r="M50" s="871"/>
      <c r="N50" s="872"/>
      <c r="O50" s="869" t="s">
        <v>454</v>
      </c>
      <c r="P50" s="869" t="s">
        <v>455</v>
      </c>
      <c r="Q50" s="869" t="s">
        <v>456</v>
      </c>
      <c r="R50" s="869"/>
      <c r="S50" s="869" t="s">
        <v>457</v>
      </c>
      <c r="T50" s="869" t="s">
        <v>458</v>
      </c>
      <c r="U50" s="869" t="s">
        <v>459</v>
      </c>
      <c r="V50" s="869" t="s">
        <v>460</v>
      </c>
      <c r="W50" s="869" t="s">
        <v>461</v>
      </c>
      <c r="X50" s="869" t="s">
        <v>242</v>
      </c>
      <c r="Y50" s="869" t="s">
        <v>462</v>
      </c>
      <c r="Z50" s="869" t="s">
        <v>463</v>
      </c>
      <c r="AA50" s="869" t="s">
        <v>464</v>
      </c>
      <c r="AB50" s="869" t="s">
        <v>465</v>
      </c>
      <c r="AC50" s="869" t="s">
        <v>466</v>
      </c>
      <c r="AD50" s="869" t="s">
        <v>467</v>
      </c>
      <c r="AE50" s="869" t="s">
        <v>468</v>
      </c>
      <c r="AF50" s="869" t="s">
        <v>469</v>
      </c>
      <c r="AG50" s="869" t="s">
        <v>470</v>
      </c>
      <c r="AJ50" s="869" t="s">
        <v>449</v>
      </c>
      <c r="AK50" s="869" t="s">
        <v>450</v>
      </c>
      <c r="AL50" s="869" t="s">
        <v>471</v>
      </c>
      <c r="AM50" s="873" t="s">
        <v>472</v>
      </c>
      <c r="AN50" s="869" t="s">
        <v>473</v>
      </c>
      <c r="AO50" s="869" t="s">
        <v>474</v>
      </c>
      <c r="AP50" s="869" t="s">
        <v>475</v>
      </c>
      <c r="AQ50" s="869" t="s">
        <v>476</v>
      </c>
      <c r="AR50" s="869" t="s">
        <v>477</v>
      </c>
      <c r="AS50" s="869" t="s">
        <v>478</v>
      </c>
      <c r="AT50" s="869" t="s">
        <v>479</v>
      </c>
      <c r="AU50" s="869" t="s">
        <v>480</v>
      </c>
      <c r="AV50" s="869" t="s">
        <v>481</v>
      </c>
      <c r="AW50" s="869" t="s">
        <v>482</v>
      </c>
      <c r="AX50" s="869" t="s">
        <v>483</v>
      </c>
      <c r="AY50" s="869" t="s">
        <v>484</v>
      </c>
      <c r="AZ50" s="869" t="s">
        <v>485</v>
      </c>
      <c r="BA50" s="869" t="s">
        <v>486</v>
      </c>
      <c r="BB50" s="869" t="s">
        <v>487</v>
      </c>
      <c r="BC50" s="869" t="s">
        <v>488</v>
      </c>
      <c r="BD50" s="869" t="s">
        <v>489</v>
      </c>
      <c r="BE50" s="869" t="s">
        <v>490</v>
      </c>
      <c r="BF50" s="869" t="s">
        <v>491</v>
      </c>
      <c r="BG50" s="873" t="s">
        <v>492</v>
      </c>
      <c r="BH50" s="869" t="s">
        <v>493</v>
      </c>
      <c r="BI50" s="869" t="s">
        <v>494</v>
      </c>
    </row>
    <row r="51" spans="1:66" ht="99.9" customHeight="1" thickTop="1" x14ac:dyDescent="0.35">
      <c r="A51" s="767"/>
      <c r="B51" s="1408" t="s">
        <v>2231</v>
      </c>
      <c r="C51" s="874"/>
      <c r="D51" s="1285" t="s">
        <v>495</v>
      </c>
      <c r="E51" s="1402" t="s">
        <v>496</v>
      </c>
      <c r="F51" s="1403" t="s">
        <v>219</v>
      </c>
      <c r="G51" s="1403"/>
      <c r="H51" s="1403"/>
      <c r="I51" s="1403"/>
      <c r="J51" s="1403"/>
      <c r="K51" s="1403"/>
      <c r="L51" s="1403"/>
      <c r="M51" s="1403"/>
      <c r="N51" s="1403"/>
      <c r="O51" s="1285" t="s">
        <v>214</v>
      </c>
      <c r="P51" s="1404" t="s">
        <v>497</v>
      </c>
      <c r="Q51" s="1285" t="s">
        <v>498</v>
      </c>
      <c r="R51" s="1321" t="s">
        <v>2183</v>
      </c>
      <c r="S51" s="1318" t="s">
        <v>499</v>
      </c>
      <c r="T51" s="1319" t="s">
        <v>2</v>
      </c>
      <c r="U51" s="1318" t="s">
        <v>500</v>
      </c>
      <c r="V51" s="1287" t="s">
        <v>501</v>
      </c>
      <c r="W51" s="1289" t="s">
        <v>502</v>
      </c>
      <c r="X51" s="1283" t="s">
        <v>503</v>
      </c>
      <c r="Y51" s="1285" t="s">
        <v>504</v>
      </c>
      <c r="Z51" s="1287" t="s">
        <v>505</v>
      </c>
      <c r="AA51" s="1289" t="s">
        <v>506</v>
      </c>
      <c r="AB51" s="1283" t="s">
        <v>507</v>
      </c>
      <c r="AC51" s="1285" t="s">
        <v>504</v>
      </c>
      <c r="AD51" s="1287" t="s">
        <v>505</v>
      </c>
      <c r="AE51" s="1289" t="s">
        <v>508</v>
      </c>
      <c r="AF51" s="1285" t="s">
        <v>509</v>
      </c>
      <c r="AG51" s="1273" t="s">
        <v>510</v>
      </c>
      <c r="AJ51" s="1298" t="s">
        <v>2231</v>
      </c>
      <c r="AK51" s="875"/>
      <c r="AL51" s="876" t="s">
        <v>2234</v>
      </c>
      <c r="AM51" s="877" t="s">
        <v>2235</v>
      </c>
      <c r="AN51" s="877" t="s">
        <v>2236</v>
      </c>
      <c r="AO51" s="877" t="s">
        <v>2237</v>
      </c>
      <c r="AP51" s="877" t="s">
        <v>2238</v>
      </c>
      <c r="AQ51" s="877" t="s">
        <v>2239</v>
      </c>
      <c r="AR51" s="878" t="s">
        <v>2240</v>
      </c>
      <c r="AS51" s="879" t="s">
        <v>2241</v>
      </c>
      <c r="AT51" s="877" t="s">
        <v>2242</v>
      </c>
      <c r="AU51" s="877" t="s">
        <v>2243</v>
      </c>
      <c r="AV51" s="877" t="s">
        <v>2244</v>
      </c>
      <c r="AW51" s="877" t="s">
        <v>2245</v>
      </c>
      <c r="AX51" s="877" t="s">
        <v>2246</v>
      </c>
      <c r="AY51" s="877" t="s">
        <v>2247</v>
      </c>
      <c r="AZ51" s="877" t="s">
        <v>2248</v>
      </c>
      <c r="BA51" s="877" t="s">
        <v>2249</v>
      </c>
      <c r="BB51" s="877" t="s">
        <v>2250</v>
      </c>
      <c r="BC51" s="877" t="s">
        <v>2251</v>
      </c>
      <c r="BD51" s="877" t="s">
        <v>2252</v>
      </c>
      <c r="BE51" s="877" t="s">
        <v>2253</v>
      </c>
      <c r="BF51" s="878" t="s">
        <v>2254</v>
      </c>
      <c r="BG51" s="879" t="s">
        <v>2255</v>
      </c>
      <c r="BH51" s="1436" t="s">
        <v>41</v>
      </c>
      <c r="BI51" s="1437" t="s">
        <v>42</v>
      </c>
      <c r="BJ51" s="776"/>
      <c r="BK51" s="777"/>
      <c r="BL51" s="778"/>
      <c r="BM51" s="778"/>
    </row>
    <row r="52" spans="1:66" s="793" customFormat="1" ht="50.15" customHeight="1" x14ac:dyDescent="0.35">
      <c r="A52" s="779"/>
      <c r="B52" s="1393"/>
      <c r="C52" s="780" t="s">
        <v>511</v>
      </c>
      <c r="D52" s="1286"/>
      <c r="E52" s="1395"/>
      <c r="F52" s="333" t="s">
        <v>512</v>
      </c>
      <c r="G52" s="333" t="s">
        <v>513</v>
      </c>
      <c r="H52" s="333" t="s">
        <v>514</v>
      </c>
      <c r="I52" s="333" t="s">
        <v>515</v>
      </c>
      <c r="J52" s="333" t="s">
        <v>516</v>
      </c>
      <c r="K52" s="333" t="s">
        <v>517</v>
      </c>
      <c r="L52" s="333" t="s">
        <v>518</v>
      </c>
      <c r="M52" s="333" t="s">
        <v>519</v>
      </c>
      <c r="N52" s="333" t="s">
        <v>520</v>
      </c>
      <c r="O52" s="1397"/>
      <c r="P52" s="1401"/>
      <c r="Q52" s="1286"/>
      <c r="R52" s="1322"/>
      <c r="S52" s="1241"/>
      <c r="T52" s="1320"/>
      <c r="U52" s="1241"/>
      <c r="V52" s="1288"/>
      <c r="W52" s="1290"/>
      <c r="X52" s="1284"/>
      <c r="Y52" s="1286"/>
      <c r="Z52" s="1288"/>
      <c r="AA52" s="1290"/>
      <c r="AB52" s="1284"/>
      <c r="AC52" s="1286"/>
      <c r="AD52" s="1288"/>
      <c r="AE52" s="1290"/>
      <c r="AF52" s="1286"/>
      <c r="AG52" s="1274"/>
      <c r="AH52" s="880"/>
      <c r="AI52" s="880"/>
      <c r="AJ52" s="1299"/>
      <c r="AK52" s="783" t="s">
        <v>511</v>
      </c>
      <c r="AL52" s="784">
        <v>8500</v>
      </c>
      <c r="AM52" s="785">
        <v>1500</v>
      </c>
      <c r="AN52" s="785">
        <v>2600</v>
      </c>
      <c r="AO52" s="786">
        <v>750</v>
      </c>
      <c r="AP52" s="786" t="s">
        <v>48</v>
      </c>
      <c r="AQ52" s="785">
        <v>2100</v>
      </c>
      <c r="AR52" s="787">
        <v>1050</v>
      </c>
      <c r="AS52" s="788">
        <v>550</v>
      </c>
      <c r="AT52" s="786">
        <v>70</v>
      </c>
      <c r="AU52" s="786">
        <v>30</v>
      </c>
      <c r="AV52" s="786">
        <v>35</v>
      </c>
      <c r="AW52" s="786">
        <v>35</v>
      </c>
      <c r="AX52" s="786">
        <v>20</v>
      </c>
      <c r="AY52" s="786">
        <v>16</v>
      </c>
      <c r="AZ52" s="786">
        <v>15</v>
      </c>
      <c r="BA52" s="786">
        <v>13</v>
      </c>
      <c r="BB52" s="786">
        <v>10</v>
      </c>
      <c r="BC52" s="786">
        <v>10</v>
      </c>
      <c r="BD52" s="786">
        <v>10</v>
      </c>
      <c r="BE52" s="786">
        <v>10</v>
      </c>
      <c r="BF52" s="789">
        <v>10</v>
      </c>
      <c r="BG52" s="790">
        <v>2120</v>
      </c>
      <c r="BH52" s="1399"/>
      <c r="BI52" s="1383"/>
      <c r="BJ52" s="776"/>
      <c r="BK52" s="791"/>
      <c r="BL52" s="792"/>
      <c r="BM52" s="792"/>
    </row>
    <row r="53" spans="1:66" ht="17.25" customHeight="1" x14ac:dyDescent="0.35">
      <c r="A53" s="794"/>
      <c r="B53" s="795"/>
      <c r="C53" s="819" t="s">
        <v>2268</v>
      </c>
      <c r="D53" s="302"/>
      <c r="E53" s="555"/>
      <c r="F53" s="303"/>
      <c r="G53" s="303"/>
      <c r="H53" s="303"/>
      <c r="I53" s="303"/>
      <c r="J53" s="303"/>
      <c r="K53" s="303"/>
      <c r="L53" s="303"/>
      <c r="M53" s="303"/>
      <c r="N53" s="307"/>
      <c r="O53" s="303"/>
      <c r="P53" s="302"/>
      <c r="Q53" s="305"/>
      <c r="R53" s="305"/>
      <c r="S53" s="306"/>
      <c r="T53" s="305"/>
      <c r="U53" s="305"/>
      <c r="V53" s="560"/>
      <c r="W53" s="584"/>
      <c r="X53" s="305"/>
      <c r="Y53" s="307"/>
      <c r="Z53" s="560"/>
      <c r="AA53" s="584"/>
      <c r="AB53" s="305"/>
      <c r="AC53" s="307"/>
      <c r="AD53" s="560"/>
      <c r="AE53" s="584"/>
      <c r="AF53" s="302"/>
      <c r="AG53" s="820"/>
      <c r="AH53" s="881"/>
      <c r="AI53" s="881"/>
      <c r="AJ53" s="800"/>
      <c r="AK53" s="822" t="s">
        <v>2268</v>
      </c>
      <c r="AL53" s="802"/>
      <c r="AM53" s="803"/>
      <c r="AN53" s="804"/>
      <c r="AO53" s="803"/>
      <c r="AP53" s="803"/>
      <c r="AQ53" s="803"/>
      <c r="AR53" s="804"/>
      <c r="AS53" s="805"/>
      <c r="AT53" s="803"/>
      <c r="AU53" s="803"/>
      <c r="AV53" s="803"/>
      <c r="AW53" s="803"/>
      <c r="AX53" s="803"/>
      <c r="AY53" s="803"/>
      <c r="AZ53" s="803"/>
      <c r="BA53" s="803"/>
      <c r="BB53" s="803"/>
      <c r="BC53" s="803"/>
      <c r="BD53" s="803"/>
      <c r="BE53" s="803"/>
      <c r="BF53" s="804"/>
      <c r="BG53" s="805"/>
      <c r="BH53" s="302"/>
      <c r="BI53" s="570"/>
      <c r="BJ53" s="881"/>
      <c r="BK53" s="860"/>
      <c r="BL53" s="910"/>
      <c r="BM53" s="807"/>
    </row>
    <row r="54" spans="1:66" ht="125.15" customHeight="1" x14ac:dyDescent="0.35">
      <c r="A54" s="1443">
        <v>18</v>
      </c>
      <c r="B54" s="670" t="s">
        <v>661</v>
      </c>
      <c r="C54" s="1302" t="s">
        <v>662</v>
      </c>
      <c r="D54" s="1302" t="s">
        <v>651</v>
      </c>
      <c r="E54" s="1375"/>
      <c r="F54" s="918"/>
      <c r="G54" s="919"/>
      <c r="H54" s="919"/>
      <c r="I54" s="919"/>
      <c r="J54" s="919"/>
      <c r="K54" s="919"/>
      <c r="L54" s="919"/>
      <c r="M54" s="919"/>
      <c r="N54" s="920"/>
      <c r="O54" s="1302" t="s">
        <v>652</v>
      </c>
      <c r="P54" s="1302" t="s">
        <v>663</v>
      </c>
      <c r="Q54" s="330" t="s">
        <v>654</v>
      </c>
      <c r="R54" s="330"/>
      <c r="S54" s="1269" t="s">
        <v>664</v>
      </c>
      <c r="T54" s="331"/>
      <c r="U54" s="1269" t="s">
        <v>656</v>
      </c>
      <c r="V54" s="1279" t="s">
        <v>539</v>
      </c>
      <c r="W54" s="661"/>
      <c r="X54" s="921" t="s">
        <v>645</v>
      </c>
      <c r="Y54" s="1302" t="s">
        <v>665</v>
      </c>
      <c r="Z54" s="1279" t="s">
        <v>540</v>
      </c>
      <c r="AA54" s="661"/>
      <c r="AB54" s="921" t="s">
        <v>645</v>
      </c>
      <c r="AC54" s="1302"/>
      <c r="AD54" s="1279" t="s">
        <v>540</v>
      </c>
      <c r="AE54" s="661"/>
      <c r="AF54" s="1269" t="s">
        <v>666</v>
      </c>
      <c r="AG54" s="812"/>
      <c r="AH54" s="1309">
        <v>18</v>
      </c>
      <c r="AI54" s="1275">
        <v>18</v>
      </c>
      <c r="AJ54" s="1296" t="s">
        <v>661</v>
      </c>
      <c r="AK54" s="1294" t="s">
        <v>667</v>
      </c>
      <c r="AL54" s="891"/>
      <c r="AM54" s="552"/>
      <c r="AN54" s="552"/>
      <c r="AO54" s="552"/>
      <c r="AP54" s="331"/>
      <c r="AQ54" s="552"/>
      <c r="AR54" s="890"/>
      <c r="AS54" s="896"/>
      <c r="AT54" s="921" t="s">
        <v>645</v>
      </c>
      <c r="AU54" s="893"/>
      <c r="AV54" s="893"/>
      <c r="AW54" s="893"/>
      <c r="AX54" s="893"/>
      <c r="AY54" s="893"/>
      <c r="AZ54" s="893"/>
      <c r="BA54" s="893"/>
      <c r="BB54" s="921" t="s">
        <v>645</v>
      </c>
      <c r="BC54" s="893"/>
      <c r="BD54" s="893"/>
      <c r="BE54" s="893"/>
      <c r="BF54" s="922" t="s">
        <v>645</v>
      </c>
      <c r="BG54" s="896"/>
      <c r="BH54" s="921" t="s">
        <v>645</v>
      </c>
      <c r="BI54" s="897"/>
      <c r="BJ54" s="1432">
        <v>18</v>
      </c>
      <c r="BK54" s="860"/>
      <c r="BL54" s="1316"/>
      <c r="BM54" s="1316"/>
    </row>
    <row r="55" spans="1:66" ht="125.15" customHeight="1" x14ac:dyDescent="0.35">
      <c r="A55" s="1444"/>
      <c r="B55" s="671"/>
      <c r="C55" s="1282"/>
      <c r="D55" s="1282"/>
      <c r="E55" s="1381"/>
      <c r="F55" s="1313" t="s">
        <v>660</v>
      </c>
      <c r="G55" s="1314"/>
      <c r="H55" s="1314"/>
      <c r="I55" s="1314"/>
      <c r="J55" s="1314"/>
      <c r="K55" s="1314"/>
      <c r="L55" s="1314"/>
      <c r="M55" s="1314"/>
      <c r="N55" s="1315"/>
      <c r="O55" s="1282"/>
      <c r="P55" s="1282"/>
      <c r="Q55" s="456">
        <f>Indexation!J20</f>
        <v>2183439.44</v>
      </c>
      <c r="R55" s="456">
        <v>2520794</v>
      </c>
      <c r="S55" s="1270"/>
      <c r="T55" s="328"/>
      <c r="U55" s="1270"/>
      <c r="V55" s="1280"/>
      <c r="W55" s="637">
        <f>Q55</f>
        <v>2183439.44</v>
      </c>
      <c r="X55" s="906"/>
      <c r="Y55" s="1282"/>
      <c r="Z55" s="1280"/>
      <c r="AA55" s="637">
        <f>W55</f>
        <v>2183439.44</v>
      </c>
      <c r="AB55" s="906"/>
      <c r="AC55" s="1282"/>
      <c r="AD55" s="1280"/>
      <c r="AE55" s="637">
        <f>AA55</f>
        <v>2183439.44</v>
      </c>
      <c r="AF55" s="1270"/>
      <c r="AG55" s="812"/>
      <c r="AH55" s="1310"/>
      <c r="AI55" s="1276"/>
      <c r="AJ55" s="1272"/>
      <c r="AK55" s="1295"/>
      <c r="AL55" s="905"/>
      <c r="AM55" s="899"/>
      <c r="AN55" s="899"/>
      <c r="AO55" s="899"/>
      <c r="AP55" s="477"/>
      <c r="AQ55" s="899"/>
      <c r="AR55" s="900"/>
      <c r="AS55" s="901"/>
      <c r="AT55" s="906"/>
      <c r="AU55" s="899"/>
      <c r="AV55" s="899"/>
      <c r="AW55" s="899"/>
      <c r="AX55" s="899"/>
      <c r="AY55" s="899"/>
      <c r="AZ55" s="899"/>
      <c r="BA55" s="899"/>
      <c r="BB55" s="906"/>
      <c r="BC55" s="899"/>
      <c r="BD55" s="899"/>
      <c r="BE55" s="899"/>
      <c r="BF55" s="909"/>
      <c r="BG55" s="902"/>
      <c r="BH55" s="906"/>
      <c r="BI55" s="903"/>
      <c r="BJ55" s="1433"/>
      <c r="BK55" s="860"/>
      <c r="BL55" s="1317"/>
      <c r="BM55" s="1317"/>
    </row>
    <row r="56" spans="1:66" ht="125.15" customHeight="1" x14ac:dyDescent="0.35">
      <c r="A56" s="1443">
        <v>19</v>
      </c>
      <c r="B56" s="672" t="s">
        <v>668</v>
      </c>
      <c r="C56" s="1281" t="s">
        <v>669</v>
      </c>
      <c r="D56" s="1281" t="s">
        <v>651</v>
      </c>
      <c r="E56" s="1379"/>
      <c r="F56" s="856"/>
      <c r="G56" s="857"/>
      <c r="H56" s="857"/>
      <c r="I56" s="857"/>
      <c r="J56" s="857"/>
      <c r="K56" s="857"/>
      <c r="L56" s="857"/>
      <c r="M56" s="857"/>
      <c r="N56" s="858"/>
      <c r="O56" s="1281" t="s">
        <v>652</v>
      </c>
      <c r="P56" s="1281" t="s">
        <v>670</v>
      </c>
      <c r="Q56" s="324" t="s">
        <v>654</v>
      </c>
      <c r="R56" s="324"/>
      <c r="S56" s="1268" t="s">
        <v>671</v>
      </c>
      <c r="T56" s="329"/>
      <c r="U56" s="1268" t="s">
        <v>656</v>
      </c>
      <c r="V56" s="1279" t="s">
        <v>539</v>
      </c>
      <c r="W56" s="638"/>
      <c r="X56" s="727" t="s">
        <v>645</v>
      </c>
      <c r="Y56" s="1281" t="s">
        <v>672</v>
      </c>
      <c r="Z56" s="1279" t="s">
        <v>540</v>
      </c>
      <c r="AA56" s="638"/>
      <c r="AB56" s="727" t="s">
        <v>645</v>
      </c>
      <c r="AC56" s="1281"/>
      <c r="AD56" s="1279" t="s">
        <v>540</v>
      </c>
      <c r="AE56" s="638"/>
      <c r="AF56" s="1268" t="s">
        <v>666</v>
      </c>
      <c r="AG56" s="754"/>
      <c r="AH56" s="1309">
        <v>19</v>
      </c>
      <c r="AI56" s="1275">
        <v>19</v>
      </c>
      <c r="AJ56" s="1271" t="s">
        <v>668</v>
      </c>
      <c r="AK56" s="1293" t="s">
        <v>673</v>
      </c>
      <c r="AL56" s="734"/>
      <c r="AM56" s="752"/>
      <c r="AN56" s="752"/>
      <c r="AO56" s="752"/>
      <c r="AP56" s="329"/>
      <c r="AQ56" s="752"/>
      <c r="AR56" s="884"/>
      <c r="AS56" s="885"/>
      <c r="AT56" s="886"/>
      <c r="AU56" s="886"/>
      <c r="AV56" s="727" t="s">
        <v>645</v>
      </c>
      <c r="AW56" s="727" t="s">
        <v>645</v>
      </c>
      <c r="AX56" s="886"/>
      <c r="AY56" s="886"/>
      <c r="AZ56" s="886"/>
      <c r="BA56" s="727" t="s">
        <v>645</v>
      </c>
      <c r="BB56" s="886"/>
      <c r="BC56" s="886"/>
      <c r="BD56" s="727" t="s">
        <v>645</v>
      </c>
      <c r="BE56" s="886"/>
      <c r="BF56" s="887"/>
      <c r="BG56" s="885"/>
      <c r="BH56" s="727" t="s">
        <v>645</v>
      </c>
      <c r="BI56" s="888"/>
      <c r="BJ56" s="1432">
        <v>19</v>
      </c>
      <c r="BK56" s="860"/>
      <c r="BL56" s="1316"/>
      <c r="BM56" s="1316"/>
    </row>
    <row r="57" spans="1:66" ht="125.15" customHeight="1" x14ac:dyDescent="0.35">
      <c r="A57" s="1444"/>
      <c r="B57" s="671"/>
      <c r="C57" s="1282"/>
      <c r="D57" s="1282"/>
      <c r="E57" s="1381"/>
      <c r="F57" s="1313" t="s">
        <v>660</v>
      </c>
      <c r="G57" s="1314"/>
      <c r="H57" s="1314"/>
      <c r="I57" s="1314"/>
      <c r="J57" s="1314"/>
      <c r="K57" s="1314"/>
      <c r="L57" s="1314"/>
      <c r="M57" s="1314"/>
      <c r="N57" s="1315"/>
      <c r="O57" s="1282"/>
      <c r="P57" s="1282"/>
      <c r="Q57" s="456">
        <f>Indexation!J21</f>
        <v>615130.88000000012</v>
      </c>
      <c r="R57" s="456">
        <v>710173</v>
      </c>
      <c r="S57" s="1270"/>
      <c r="T57" s="328"/>
      <c r="U57" s="1270"/>
      <c r="V57" s="1280"/>
      <c r="W57" s="637">
        <f>Q57</f>
        <v>615130.88000000012</v>
      </c>
      <c r="X57" s="906"/>
      <c r="Y57" s="1282"/>
      <c r="Z57" s="1280"/>
      <c r="AA57" s="637">
        <f>W57</f>
        <v>615130.88000000012</v>
      </c>
      <c r="AB57" s="906"/>
      <c r="AC57" s="1282"/>
      <c r="AD57" s="1280"/>
      <c r="AE57" s="637">
        <f>AA57</f>
        <v>615130.88000000012</v>
      </c>
      <c r="AF57" s="1270"/>
      <c r="AG57" s="812"/>
      <c r="AH57" s="1310"/>
      <c r="AI57" s="1276"/>
      <c r="AJ57" s="1272"/>
      <c r="AK57" s="1295"/>
      <c r="AL57" s="905"/>
      <c r="AM57" s="899"/>
      <c r="AN57" s="899"/>
      <c r="AO57" s="899"/>
      <c r="AP57" s="477"/>
      <c r="AQ57" s="899"/>
      <c r="AR57" s="900"/>
      <c r="AS57" s="901"/>
      <c r="AT57" s="899"/>
      <c r="AU57" s="899"/>
      <c r="AV57" s="906"/>
      <c r="AW57" s="906"/>
      <c r="AX57" s="899"/>
      <c r="AY57" s="899"/>
      <c r="AZ57" s="899"/>
      <c r="BA57" s="906"/>
      <c r="BB57" s="899"/>
      <c r="BC57" s="899"/>
      <c r="BD57" s="906"/>
      <c r="BE57" s="899"/>
      <c r="BF57" s="900"/>
      <c r="BG57" s="902"/>
      <c r="BH57" s="906"/>
      <c r="BI57" s="903"/>
      <c r="BJ57" s="1433"/>
      <c r="BK57" s="860"/>
      <c r="BL57" s="1317"/>
      <c r="BM57" s="1317"/>
    </row>
    <row r="58" spans="1:66" ht="125.15" customHeight="1" x14ac:dyDescent="0.35">
      <c r="A58" s="1443">
        <v>20</v>
      </c>
      <c r="B58" s="670" t="s">
        <v>674</v>
      </c>
      <c r="C58" s="1302" t="s">
        <v>675</v>
      </c>
      <c r="D58" s="1302" t="s">
        <v>651</v>
      </c>
      <c r="E58" s="1375"/>
      <c r="F58" s="918"/>
      <c r="G58" s="919"/>
      <c r="H58" s="919"/>
      <c r="I58" s="919"/>
      <c r="J58" s="919"/>
      <c r="K58" s="919"/>
      <c r="L58" s="919"/>
      <c r="M58" s="919"/>
      <c r="N58" s="920"/>
      <c r="O58" s="1302" t="s">
        <v>652</v>
      </c>
      <c r="P58" s="1302" t="s">
        <v>676</v>
      </c>
      <c r="Q58" s="330" t="s">
        <v>654</v>
      </c>
      <c r="R58" s="330"/>
      <c r="S58" s="1269" t="s">
        <v>677</v>
      </c>
      <c r="T58" s="331"/>
      <c r="U58" s="1269" t="s">
        <v>656</v>
      </c>
      <c r="V58" s="1279" t="s">
        <v>539</v>
      </c>
      <c r="W58" s="661"/>
      <c r="X58" s="921" t="s">
        <v>645</v>
      </c>
      <c r="Y58" s="1302" t="s">
        <v>678</v>
      </c>
      <c r="Z58" s="1279" t="s">
        <v>540</v>
      </c>
      <c r="AA58" s="661"/>
      <c r="AB58" s="921" t="s">
        <v>645</v>
      </c>
      <c r="AC58" s="1302"/>
      <c r="AD58" s="1279" t="s">
        <v>540</v>
      </c>
      <c r="AE58" s="661"/>
      <c r="AF58" s="1269" t="s">
        <v>666</v>
      </c>
      <c r="AG58" s="754"/>
      <c r="AH58" s="1309">
        <v>20</v>
      </c>
      <c r="AI58" s="1275">
        <v>20</v>
      </c>
      <c r="AJ58" s="1296" t="s">
        <v>674</v>
      </c>
      <c r="AK58" s="1294" t="s">
        <v>679</v>
      </c>
      <c r="AL58" s="891"/>
      <c r="AM58" s="552"/>
      <c r="AN58" s="552"/>
      <c r="AO58" s="552"/>
      <c r="AP58" s="331"/>
      <c r="AQ58" s="552"/>
      <c r="AR58" s="890"/>
      <c r="AS58" s="896"/>
      <c r="AT58" s="893"/>
      <c r="AU58" s="921" t="s">
        <v>645</v>
      </c>
      <c r="AV58" s="893"/>
      <c r="AW58" s="893"/>
      <c r="AX58" s="921" t="s">
        <v>645</v>
      </c>
      <c r="AY58" s="921" t="s">
        <v>645</v>
      </c>
      <c r="AZ58" s="921" t="s">
        <v>645</v>
      </c>
      <c r="BA58" s="893"/>
      <c r="BB58" s="893"/>
      <c r="BC58" s="893"/>
      <c r="BD58" s="893"/>
      <c r="BE58" s="921" t="s">
        <v>645</v>
      </c>
      <c r="BF58" s="894"/>
      <c r="BG58" s="896"/>
      <c r="BH58" s="921" t="s">
        <v>645</v>
      </c>
      <c r="BI58" s="897"/>
      <c r="BJ58" s="1432">
        <v>20</v>
      </c>
      <c r="BK58" s="860"/>
      <c r="BL58" s="1316"/>
      <c r="BM58" s="1316"/>
    </row>
    <row r="59" spans="1:66" ht="125.15" customHeight="1" x14ac:dyDescent="0.35">
      <c r="A59" s="1444"/>
      <c r="B59" s="671"/>
      <c r="C59" s="1282"/>
      <c r="D59" s="1282"/>
      <c r="E59" s="1381"/>
      <c r="F59" s="1313" t="s">
        <v>660</v>
      </c>
      <c r="G59" s="1314"/>
      <c r="H59" s="1314"/>
      <c r="I59" s="1314"/>
      <c r="J59" s="1314"/>
      <c r="K59" s="1314"/>
      <c r="L59" s="1314"/>
      <c r="M59" s="1314"/>
      <c r="N59" s="1315"/>
      <c r="O59" s="1282"/>
      <c r="P59" s="1282"/>
      <c r="Q59" s="456">
        <f>Indexation!J22</f>
        <v>1327304.1600000001</v>
      </c>
      <c r="R59" s="456">
        <v>1532381</v>
      </c>
      <c r="S59" s="1270"/>
      <c r="T59" s="328"/>
      <c r="U59" s="1270"/>
      <c r="V59" s="1280"/>
      <c r="W59" s="637">
        <f>Q59</f>
        <v>1327304.1600000001</v>
      </c>
      <c r="X59" s="906"/>
      <c r="Y59" s="1282"/>
      <c r="Z59" s="1280"/>
      <c r="AA59" s="637">
        <f>W59</f>
        <v>1327304.1600000001</v>
      </c>
      <c r="AB59" s="906"/>
      <c r="AC59" s="1282"/>
      <c r="AD59" s="1280"/>
      <c r="AE59" s="637">
        <f>AA59</f>
        <v>1327304.1600000001</v>
      </c>
      <c r="AF59" s="1270"/>
      <c r="AG59" s="755"/>
      <c r="AH59" s="1310"/>
      <c r="AI59" s="1276"/>
      <c r="AJ59" s="1272"/>
      <c r="AK59" s="1295"/>
      <c r="AL59" s="905"/>
      <c r="AM59" s="899"/>
      <c r="AN59" s="899"/>
      <c r="AO59" s="899"/>
      <c r="AP59" s="477"/>
      <c r="AQ59" s="899"/>
      <c r="AR59" s="900"/>
      <c r="AS59" s="901"/>
      <c r="AT59" s="899"/>
      <c r="AU59" s="906"/>
      <c r="AV59" s="899"/>
      <c r="AW59" s="899"/>
      <c r="AX59" s="906"/>
      <c r="AY59" s="906"/>
      <c r="AZ59" s="906"/>
      <c r="BA59" s="899"/>
      <c r="BB59" s="899"/>
      <c r="BC59" s="899"/>
      <c r="BD59" s="899"/>
      <c r="BE59" s="906"/>
      <c r="BF59" s="900"/>
      <c r="BG59" s="902"/>
      <c r="BH59" s="906"/>
      <c r="BI59" s="903"/>
      <c r="BJ59" s="1433"/>
      <c r="BK59" s="860"/>
      <c r="BL59" s="1317"/>
      <c r="BM59" s="1317"/>
    </row>
    <row r="60" spans="1:66" ht="125.15" customHeight="1" x14ac:dyDescent="0.35">
      <c r="A60" s="1443">
        <v>21</v>
      </c>
      <c r="B60" s="672" t="s">
        <v>680</v>
      </c>
      <c r="C60" s="1281" t="s">
        <v>681</v>
      </c>
      <c r="D60" s="1281" t="s">
        <v>651</v>
      </c>
      <c r="E60" s="1379"/>
      <c r="F60" s="856"/>
      <c r="G60" s="857"/>
      <c r="H60" s="857"/>
      <c r="I60" s="857"/>
      <c r="J60" s="857"/>
      <c r="K60" s="857"/>
      <c r="L60" s="857"/>
      <c r="M60" s="857"/>
      <c r="N60" s="858"/>
      <c r="O60" s="1281" t="s">
        <v>652</v>
      </c>
      <c r="P60" s="1281" t="s">
        <v>682</v>
      </c>
      <c r="Q60" s="324" t="s">
        <v>683</v>
      </c>
      <c r="R60" s="324"/>
      <c r="S60" s="1268" t="s">
        <v>684</v>
      </c>
      <c r="T60" s="329"/>
      <c r="U60" s="1268" t="s">
        <v>656</v>
      </c>
      <c r="V60" s="1279" t="s">
        <v>539</v>
      </c>
      <c r="W60" s="638"/>
      <c r="X60" s="727" t="s">
        <v>645</v>
      </c>
      <c r="Y60" s="1281" t="s">
        <v>685</v>
      </c>
      <c r="Z60" s="1279" t="s">
        <v>540</v>
      </c>
      <c r="AA60" s="638"/>
      <c r="AB60" s="727" t="s">
        <v>645</v>
      </c>
      <c r="AC60" s="1281"/>
      <c r="AD60" s="1279" t="s">
        <v>540</v>
      </c>
      <c r="AE60" s="638"/>
      <c r="AF60" s="1268" t="s">
        <v>666</v>
      </c>
      <c r="AG60" s="812"/>
      <c r="AH60" s="1309">
        <v>21</v>
      </c>
      <c r="AI60" s="1275">
        <v>21</v>
      </c>
      <c r="AJ60" s="1271" t="s">
        <v>680</v>
      </c>
      <c r="AK60" s="1293" t="s">
        <v>686</v>
      </c>
      <c r="AL60" s="734"/>
      <c r="AM60" s="752"/>
      <c r="AN60" s="752"/>
      <c r="AO60" s="752"/>
      <c r="AP60" s="329"/>
      <c r="AQ60" s="752"/>
      <c r="AR60" s="884"/>
      <c r="AS60" s="834" t="s">
        <v>645</v>
      </c>
      <c r="AT60" s="886"/>
      <c r="AU60" s="886"/>
      <c r="AV60" s="886"/>
      <c r="AW60" s="886"/>
      <c r="AX60" s="886"/>
      <c r="AY60" s="886"/>
      <c r="AZ60" s="886"/>
      <c r="BA60" s="886"/>
      <c r="BB60" s="886"/>
      <c r="BC60" s="886"/>
      <c r="BD60" s="886"/>
      <c r="BE60" s="886"/>
      <c r="BF60" s="887"/>
      <c r="BG60" s="834" t="s">
        <v>645</v>
      </c>
      <c r="BH60" s="727" t="s">
        <v>645</v>
      </c>
      <c r="BI60" s="888"/>
      <c r="BJ60" s="1432">
        <v>21</v>
      </c>
      <c r="BK60" s="860"/>
      <c r="BL60" s="1316"/>
      <c r="BM60" s="1316"/>
    </row>
    <row r="61" spans="1:66" ht="125.15" customHeight="1" x14ac:dyDescent="0.35">
      <c r="A61" s="1444"/>
      <c r="B61" s="671"/>
      <c r="C61" s="1282"/>
      <c r="D61" s="1282"/>
      <c r="E61" s="1381"/>
      <c r="F61" s="1313" t="s">
        <v>660</v>
      </c>
      <c r="G61" s="1314"/>
      <c r="H61" s="1314"/>
      <c r="I61" s="1314"/>
      <c r="J61" s="1314"/>
      <c r="K61" s="1314"/>
      <c r="L61" s="1314"/>
      <c r="M61" s="1314"/>
      <c r="N61" s="1315"/>
      <c r="O61" s="1282"/>
      <c r="P61" s="1282"/>
      <c r="Q61" s="456">
        <f>Indexation!J23+Indexation!J24</f>
        <v>12505584.000000004</v>
      </c>
      <c r="R61" s="456">
        <v>14437777</v>
      </c>
      <c r="S61" s="1270"/>
      <c r="T61" s="328"/>
      <c r="U61" s="1270"/>
      <c r="V61" s="1280"/>
      <c r="W61" s="637">
        <f>Q61</f>
        <v>12505584.000000004</v>
      </c>
      <c r="X61" s="906"/>
      <c r="Y61" s="1282"/>
      <c r="Z61" s="1280"/>
      <c r="AA61" s="637">
        <f>W61</f>
        <v>12505584.000000004</v>
      </c>
      <c r="AB61" s="906"/>
      <c r="AC61" s="1282"/>
      <c r="AD61" s="1280"/>
      <c r="AE61" s="637">
        <f>AA61</f>
        <v>12505584.000000004</v>
      </c>
      <c r="AF61" s="1270"/>
      <c r="AG61" s="812"/>
      <c r="AH61" s="1310"/>
      <c r="AI61" s="1276"/>
      <c r="AJ61" s="1272"/>
      <c r="AK61" s="1295"/>
      <c r="AL61" s="905"/>
      <c r="AM61" s="899"/>
      <c r="AN61" s="899"/>
      <c r="AO61" s="899"/>
      <c r="AP61" s="477"/>
      <c r="AQ61" s="899"/>
      <c r="AR61" s="900"/>
      <c r="AS61" s="908"/>
      <c r="AT61" s="899"/>
      <c r="AU61" s="899"/>
      <c r="AV61" s="899"/>
      <c r="AW61" s="899"/>
      <c r="AX61" s="899"/>
      <c r="AY61" s="899"/>
      <c r="AZ61" s="899"/>
      <c r="BA61" s="899"/>
      <c r="BB61" s="899"/>
      <c r="BC61" s="899"/>
      <c r="BD61" s="899"/>
      <c r="BE61" s="899"/>
      <c r="BF61" s="900"/>
      <c r="BG61" s="908"/>
      <c r="BH61" s="906"/>
      <c r="BI61" s="903"/>
      <c r="BJ61" s="1433"/>
      <c r="BK61" s="860"/>
      <c r="BL61" s="1317"/>
      <c r="BM61" s="1317"/>
    </row>
    <row r="62" spans="1:66" ht="125.15" customHeight="1" x14ac:dyDescent="0.35">
      <c r="A62" s="1443">
        <v>22</v>
      </c>
      <c r="B62" s="672" t="s">
        <v>687</v>
      </c>
      <c r="C62" s="1281" t="s">
        <v>688</v>
      </c>
      <c r="D62" s="1281" t="s">
        <v>651</v>
      </c>
      <c r="E62" s="1379"/>
      <c r="F62" s="856"/>
      <c r="G62" s="857"/>
      <c r="H62" s="857"/>
      <c r="I62" s="857"/>
      <c r="J62" s="857"/>
      <c r="K62" s="857"/>
      <c r="L62" s="857"/>
      <c r="M62" s="857"/>
      <c r="N62" s="858"/>
      <c r="O62" s="1281" t="s">
        <v>652</v>
      </c>
      <c r="P62" s="1281" t="s">
        <v>689</v>
      </c>
      <c r="Q62" s="324" t="s">
        <v>690</v>
      </c>
      <c r="R62" s="324" t="s">
        <v>2186</v>
      </c>
      <c r="S62" s="1268" t="s">
        <v>691</v>
      </c>
      <c r="T62" s="329"/>
      <c r="U62" s="1268" t="s">
        <v>656</v>
      </c>
      <c r="V62" s="1279" t="s">
        <v>539</v>
      </c>
      <c r="W62" s="638"/>
      <c r="X62" s="727" t="s">
        <v>645</v>
      </c>
      <c r="Y62" s="1281" t="s">
        <v>692</v>
      </c>
      <c r="Z62" s="1279" t="s">
        <v>540</v>
      </c>
      <c r="AA62" s="638"/>
      <c r="AB62" s="727" t="s">
        <v>645</v>
      </c>
      <c r="AC62" s="1281"/>
      <c r="AD62" s="1279" t="s">
        <v>540</v>
      </c>
      <c r="AE62" s="638"/>
      <c r="AF62" s="1268" t="s">
        <v>666</v>
      </c>
      <c r="AG62" s="754"/>
      <c r="AH62" s="1309">
        <v>22</v>
      </c>
      <c r="AI62" s="1275">
        <v>22</v>
      </c>
      <c r="AJ62" s="1271" t="s">
        <v>687</v>
      </c>
      <c r="AK62" s="1293" t="s">
        <v>688</v>
      </c>
      <c r="AL62" s="833" t="s">
        <v>693</v>
      </c>
      <c r="AM62" s="833" t="s">
        <v>693</v>
      </c>
      <c r="AN62" s="752"/>
      <c r="AO62" s="752"/>
      <c r="AP62" s="329"/>
      <c r="AQ62" s="752"/>
      <c r="AR62" s="884"/>
      <c r="AS62" s="834" t="s">
        <v>645</v>
      </c>
      <c r="AT62" s="886"/>
      <c r="AU62" s="886"/>
      <c r="AV62" s="886"/>
      <c r="AW62" s="886"/>
      <c r="AX62" s="886"/>
      <c r="AY62" s="886"/>
      <c r="AZ62" s="886"/>
      <c r="BA62" s="886"/>
      <c r="BB62" s="886"/>
      <c r="BC62" s="886"/>
      <c r="BD62" s="886"/>
      <c r="BE62" s="886"/>
      <c r="BF62" s="887"/>
      <c r="BG62" s="834" t="s">
        <v>645</v>
      </c>
      <c r="BH62" s="727" t="s">
        <v>645</v>
      </c>
      <c r="BI62" s="888"/>
      <c r="BJ62" s="1432">
        <v>22</v>
      </c>
      <c r="BK62" s="860"/>
      <c r="BL62" s="1316"/>
      <c r="BM62" s="1316"/>
    </row>
    <row r="63" spans="1:66" ht="125.15" customHeight="1" x14ac:dyDescent="0.35">
      <c r="A63" s="1444"/>
      <c r="B63" s="671"/>
      <c r="C63" s="1282"/>
      <c r="D63" s="1282"/>
      <c r="E63" s="1381"/>
      <c r="F63" s="1313" t="s">
        <v>660</v>
      </c>
      <c r="G63" s="1314"/>
      <c r="H63" s="1314"/>
      <c r="I63" s="1314"/>
      <c r="J63" s="1314"/>
      <c r="K63" s="1314"/>
      <c r="L63" s="1314"/>
      <c r="M63" s="1314"/>
      <c r="N63" s="1315"/>
      <c r="O63" s="1282"/>
      <c r="P63" s="1282"/>
      <c r="Q63" s="456">
        <v>139108</v>
      </c>
      <c r="R63" s="456"/>
      <c r="S63" s="1270"/>
      <c r="T63" s="328"/>
      <c r="U63" s="1270"/>
      <c r="V63" s="1280"/>
      <c r="W63" s="637">
        <f>Q63</f>
        <v>139108</v>
      </c>
      <c r="X63" s="907">
        <f>SUM(AL63:BF63)</f>
        <v>0</v>
      </c>
      <c r="Y63" s="1282"/>
      <c r="Z63" s="1280"/>
      <c r="AA63" s="637">
        <f>W63-X63</f>
        <v>139108</v>
      </c>
      <c r="AB63" s="906"/>
      <c r="AC63" s="1282"/>
      <c r="AD63" s="1280"/>
      <c r="AE63" s="637">
        <f>AA63</f>
        <v>139108</v>
      </c>
      <c r="AF63" s="1270"/>
      <c r="AG63" s="755"/>
      <c r="AH63" s="1310"/>
      <c r="AI63" s="1276"/>
      <c r="AJ63" s="1272"/>
      <c r="AK63" s="1295"/>
      <c r="AL63" s="731"/>
      <c r="AM63" s="731"/>
      <c r="AN63" s="899"/>
      <c r="AO63" s="899"/>
      <c r="AP63" s="477"/>
      <c r="AQ63" s="899"/>
      <c r="AR63" s="900"/>
      <c r="AS63" s="908"/>
      <c r="AT63" s="899"/>
      <c r="AU63" s="899"/>
      <c r="AV63" s="899"/>
      <c r="AW63" s="899"/>
      <c r="AX63" s="899"/>
      <c r="AY63" s="899"/>
      <c r="AZ63" s="899"/>
      <c r="BA63" s="899"/>
      <c r="BB63" s="899"/>
      <c r="BC63" s="899"/>
      <c r="BD63" s="899"/>
      <c r="BE63" s="899"/>
      <c r="BF63" s="900"/>
      <c r="BG63" s="908"/>
      <c r="BH63" s="906"/>
      <c r="BI63" s="903"/>
      <c r="BJ63" s="1433"/>
      <c r="BK63" s="860"/>
      <c r="BL63" s="1317"/>
      <c r="BM63" s="1317"/>
    </row>
    <row r="64" spans="1:66" ht="125.15" customHeight="1" x14ac:dyDescent="0.35">
      <c r="A64" s="1443">
        <v>23</v>
      </c>
      <c r="B64" s="672" t="s">
        <v>694</v>
      </c>
      <c r="C64" s="1281" t="s">
        <v>695</v>
      </c>
      <c r="D64" s="1281" t="s">
        <v>651</v>
      </c>
      <c r="E64" s="1379"/>
      <c r="F64" s="856"/>
      <c r="G64" s="857"/>
      <c r="H64" s="857"/>
      <c r="I64" s="857"/>
      <c r="J64" s="857"/>
      <c r="K64" s="857"/>
      <c r="L64" s="857"/>
      <c r="M64" s="857"/>
      <c r="N64" s="858"/>
      <c r="O64" s="1281" t="s">
        <v>652</v>
      </c>
      <c r="P64" s="1281" t="s">
        <v>696</v>
      </c>
      <c r="Q64" s="324" t="s">
        <v>697</v>
      </c>
      <c r="R64" s="324"/>
      <c r="S64" s="1268" t="s">
        <v>698</v>
      </c>
      <c r="T64" s="329"/>
      <c r="U64" s="1268"/>
      <c r="V64" s="1279" t="s">
        <v>539</v>
      </c>
      <c r="W64" s="638"/>
      <c r="X64" s="727" t="s">
        <v>645</v>
      </c>
      <c r="Y64" s="1281" t="s">
        <v>699</v>
      </c>
      <c r="Z64" s="1279" t="s">
        <v>540</v>
      </c>
      <c r="AA64" s="618"/>
      <c r="AB64" s="752"/>
      <c r="AC64" s="1281"/>
      <c r="AD64" s="1279"/>
      <c r="AE64" s="618"/>
      <c r="AF64" s="832"/>
      <c r="AG64" s="812"/>
      <c r="AH64" s="1309">
        <v>23</v>
      </c>
      <c r="AI64" s="1275">
        <v>23</v>
      </c>
      <c r="AJ64" s="1271" t="s">
        <v>694</v>
      </c>
      <c r="AK64" s="1293" t="s">
        <v>700</v>
      </c>
      <c r="AL64" s="734"/>
      <c r="AM64" s="752"/>
      <c r="AN64" s="833" t="s">
        <v>701</v>
      </c>
      <c r="AO64" s="833" t="s">
        <v>701</v>
      </c>
      <c r="AP64" s="734"/>
      <c r="AQ64" s="752"/>
      <c r="AR64" s="884"/>
      <c r="AS64" s="885"/>
      <c r="AT64" s="886"/>
      <c r="AU64" s="886"/>
      <c r="AV64" s="886"/>
      <c r="AW64" s="886"/>
      <c r="AX64" s="886"/>
      <c r="AY64" s="886"/>
      <c r="AZ64" s="886"/>
      <c r="BA64" s="886"/>
      <c r="BB64" s="886"/>
      <c r="BC64" s="886"/>
      <c r="BD64" s="886"/>
      <c r="BE64" s="886"/>
      <c r="BF64" s="887"/>
      <c r="BG64" s="885"/>
      <c r="BH64" s="886"/>
      <c r="BI64" s="888"/>
      <c r="BJ64" s="1432">
        <v>23</v>
      </c>
      <c r="BK64" s="860"/>
      <c r="BL64" s="1316"/>
      <c r="BM64" s="1316"/>
    </row>
    <row r="65" spans="1:66" ht="125.15" customHeight="1" x14ac:dyDescent="0.35">
      <c r="A65" s="1444"/>
      <c r="B65" s="671"/>
      <c r="C65" s="1282"/>
      <c r="D65" s="1282"/>
      <c r="E65" s="1381"/>
      <c r="F65" s="1313" t="s">
        <v>660</v>
      </c>
      <c r="G65" s="1314"/>
      <c r="H65" s="1314"/>
      <c r="I65" s="1314"/>
      <c r="J65" s="1314"/>
      <c r="K65" s="1314"/>
      <c r="L65" s="1314"/>
      <c r="M65" s="1314"/>
      <c r="N65" s="1315"/>
      <c r="O65" s="1282"/>
      <c r="P65" s="1282"/>
      <c r="Q65" s="456">
        <f>Indexation!J27+Indexation!J28</f>
        <v>203840.00000000006</v>
      </c>
      <c r="R65" s="456">
        <v>235335</v>
      </c>
      <c r="S65" s="1270"/>
      <c r="T65" s="328"/>
      <c r="U65" s="1270"/>
      <c r="V65" s="1280"/>
      <c r="W65" s="637">
        <f>Q65</f>
        <v>203840.00000000006</v>
      </c>
      <c r="X65" s="907">
        <f>SUM(AL65:BF65)</f>
        <v>101920.00000000003</v>
      </c>
      <c r="Y65" s="1282"/>
      <c r="Z65" s="1280"/>
      <c r="AA65" s="628"/>
      <c r="AB65" s="923"/>
      <c r="AC65" s="1282"/>
      <c r="AD65" s="1280"/>
      <c r="AE65" s="628"/>
      <c r="AF65" s="898"/>
      <c r="AG65" s="755"/>
      <c r="AH65" s="1310"/>
      <c r="AI65" s="1276"/>
      <c r="AJ65" s="1272"/>
      <c r="AK65" s="1295"/>
      <c r="AL65" s="905"/>
      <c r="AM65" s="899"/>
      <c r="AN65" s="907">
        <f>Indexation!J27*AN4/(AN4+AO4)</f>
        <v>79102.089552238831</v>
      </c>
      <c r="AO65" s="564">
        <f>Indexation!J27*AO4/(AN4+AO4)</f>
        <v>22817.910447761198</v>
      </c>
      <c r="AP65" s="477"/>
      <c r="AQ65" s="899"/>
      <c r="AR65" s="900"/>
      <c r="AS65" s="901"/>
      <c r="AT65" s="899"/>
      <c r="AU65" s="899"/>
      <c r="AV65" s="899"/>
      <c r="AW65" s="899"/>
      <c r="AX65" s="899"/>
      <c r="AY65" s="899"/>
      <c r="AZ65" s="899"/>
      <c r="BA65" s="899"/>
      <c r="BB65" s="899"/>
      <c r="BC65" s="899"/>
      <c r="BD65" s="899"/>
      <c r="BE65" s="899"/>
      <c r="BF65" s="900"/>
      <c r="BG65" s="902"/>
      <c r="BH65" s="899"/>
      <c r="BI65" s="903"/>
      <c r="BJ65" s="1433"/>
      <c r="BK65" s="860"/>
      <c r="BL65" s="1317"/>
      <c r="BM65" s="1317"/>
    </row>
    <row r="66" spans="1:66" ht="125.15" customHeight="1" x14ac:dyDescent="0.35">
      <c r="A66" s="1443">
        <v>24</v>
      </c>
      <c r="B66" s="672" t="s">
        <v>702</v>
      </c>
      <c r="C66" s="1281" t="s">
        <v>703</v>
      </c>
      <c r="D66" s="1281" t="s">
        <v>651</v>
      </c>
      <c r="E66" s="1379"/>
      <c r="F66" s="856"/>
      <c r="G66" s="857"/>
      <c r="H66" s="857"/>
      <c r="I66" s="857"/>
      <c r="J66" s="857"/>
      <c r="K66" s="857"/>
      <c r="L66" s="857"/>
      <c r="M66" s="857"/>
      <c r="N66" s="858"/>
      <c r="O66" s="1281" t="s">
        <v>652</v>
      </c>
      <c r="P66" s="1281" t="s">
        <v>704</v>
      </c>
      <c r="Q66" s="324" t="s">
        <v>705</v>
      </c>
      <c r="R66" s="324"/>
      <c r="S66" s="1268" t="s">
        <v>706</v>
      </c>
      <c r="T66" s="329"/>
      <c r="U66" s="1268" t="s">
        <v>656</v>
      </c>
      <c r="V66" s="1279" t="s">
        <v>539</v>
      </c>
      <c r="W66" s="638"/>
      <c r="X66" s="727" t="s">
        <v>645</v>
      </c>
      <c r="Y66" s="1281" t="s">
        <v>707</v>
      </c>
      <c r="Z66" s="1279" t="s">
        <v>540</v>
      </c>
      <c r="AA66" s="638"/>
      <c r="AB66" s="727" t="s">
        <v>645</v>
      </c>
      <c r="AC66" s="1281"/>
      <c r="AD66" s="1279" t="s">
        <v>540</v>
      </c>
      <c r="AE66" s="638"/>
      <c r="AF66" s="1268" t="s">
        <v>666</v>
      </c>
      <c r="AG66" s="812"/>
      <c r="AH66" s="1309">
        <v>24</v>
      </c>
      <c r="AI66" s="1275">
        <v>24</v>
      </c>
      <c r="AJ66" s="1271" t="s">
        <v>702</v>
      </c>
      <c r="AK66" s="1293" t="s">
        <v>703</v>
      </c>
      <c r="AL66" s="734"/>
      <c r="AM66" s="752"/>
      <c r="AN66" s="752"/>
      <c r="AO66" s="752"/>
      <c r="AP66" s="329"/>
      <c r="AQ66" s="752"/>
      <c r="AR66" s="884"/>
      <c r="AS66" s="885"/>
      <c r="AT66" s="886"/>
      <c r="AU66" s="886"/>
      <c r="AV66" s="886"/>
      <c r="AW66" s="886"/>
      <c r="AX66" s="886"/>
      <c r="AY66" s="886"/>
      <c r="AZ66" s="886"/>
      <c r="BA66" s="727" t="s">
        <v>645</v>
      </c>
      <c r="BB66" s="727" t="s">
        <v>645</v>
      </c>
      <c r="BC66" s="886"/>
      <c r="BD66" s="727" t="s">
        <v>645</v>
      </c>
      <c r="BE66" s="886"/>
      <c r="BF66" s="732" t="s">
        <v>645</v>
      </c>
      <c r="BG66" s="885"/>
      <c r="BH66" s="727" t="s">
        <v>645</v>
      </c>
      <c r="BI66" s="888"/>
      <c r="BJ66" s="1432">
        <v>24</v>
      </c>
      <c r="BK66" s="860"/>
      <c r="BL66" s="1316"/>
      <c r="BM66" s="1316"/>
    </row>
    <row r="67" spans="1:66" ht="125.15" customHeight="1" x14ac:dyDescent="0.35">
      <c r="A67" s="1444"/>
      <c r="B67" s="671"/>
      <c r="C67" s="1282"/>
      <c r="D67" s="1282"/>
      <c r="E67" s="1381"/>
      <c r="F67" s="1313" t="s">
        <v>660</v>
      </c>
      <c r="G67" s="1314"/>
      <c r="H67" s="1314"/>
      <c r="I67" s="1314"/>
      <c r="J67" s="1314"/>
      <c r="K67" s="1314"/>
      <c r="L67" s="1314"/>
      <c r="M67" s="1314"/>
      <c r="N67" s="1315"/>
      <c r="O67" s="1282"/>
      <c r="P67" s="1282"/>
      <c r="Q67" s="456">
        <f>Indexation!J29</f>
        <v>2441633.3760000006</v>
      </c>
      <c r="R67" s="456">
        <v>2818881</v>
      </c>
      <c r="S67" s="1270"/>
      <c r="T67" s="328"/>
      <c r="U67" s="1270"/>
      <c r="V67" s="1280"/>
      <c r="W67" s="637">
        <f>Q67</f>
        <v>2441633.3760000006</v>
      </c>
      <c r="X67" s="906"/>
      <c r="Y67" s="1282"/>
      <c r="Z67" s="1280"/>
      <c r="AA67" s="637">
        <f>W67</f>
        <v>2441633.3760000006</v>
      </c>
      <c r="AB67" s="906"/>
      <c r="AC67" s="1282"/>
      <c r="AD67" s="1280"/>
      <c r="AE67" s="637">
        <f>AA67</f>
        <v>2441633.3760000006</v>
      </c>
      <c r="AF67" s="1270"/>
      <c r="AG67" s="755"/>
      <c r="AH67" s="1310"/>
      <c r="AI67" s="1276"/>
      <c r="AJ67" s="1272"/>
      <c r="AK67" s="1295"/>
      <c r="AL67" s="905"/>
      <c r="AM67" s="899"/>
      <c r="AN67" s="899"/>
      <c r="AO67" s="899"/>
      <c r="AP67" s="477"/>
      <c r="AQ67" s="899"/>
      <c r="AR67" s="900"/>
      <c r="AS67" s="901"/>
      <c r="AT67" s="899"/>
      <c r="AU67" s="899"/>
      <c r="AV67" s="899"/>
      <c r="AW67" s="899"/>
      <c r="AX67" s="899"/>
      <c r="AY67" s="899"/>
      <c r="AZ67" s="899"/>
      <c r="BA67" s="906"/>
      <c r="BB67" s="906"/>
      <c r="BC67" s="899"/>
      <c r="BD67" s="906"/>
      <c r="BE67" s="899"/>
      <c r="BF67" s="909"/>
      <c r="BG67" s="902"/>
      <c r="BH67" s="906"/>
      <c r="BI67" s="903"/>
      <c r="BJ67" s="1433"/>
      <c r="BK67" s="860"/>
      <c r="BL67" s="1317"/>
      <c r="BM67" s="1317"/>
    </row>
    <row r="68" spans="1:66" ht="125.15" customHeight="1" x14ac:dyDescent="0.35">
      <c r="A68" s="1443">
        <v>25</v>
      </c>
      <c r="B68" s="672" t="s">
        <v>708</v>
      </c>
      <c r="C68" s="1281" t="s">
        <v>709</v>
      </c>
      <c r="D68" s="1281" t="s">
        <v>651</v>
      </c>
      <c r="E68" s="1379"/>
      <c r="F68" s="856"/>
      <c r="G68" s="857"/>
      <c r="H68" s="857"/>
      <c r="I68" s="857"/>
      <c r="J68" s="857"/>
      <c r="K68" s="857"/>
      <c r="L68" s="857"/>
      <c r="M68" s="857"/>
      <c r="N68" s="858"/>
      <c r="O68" s="1281" t="s">
        <v>652</v>
      </c>
      <c r="P68" s="1281" t="s">
        <v>710</v>
      </c>
      <c r="Q68" s="324" t="s">
        <v>711</v>
      </c>
      <c r="R68" s="324"/>
      <c r="S68" s="1268" t="s">
        <v>712</v>
      </c>
      <c r="T68" s="329"/>
      <c r="U68" s="1268" t="s">
        <v>656</v>
      </c>
      <c r="V68" s="1279" t="s">
        <v>539</v>
      </c>
      <c r="W68" s="638"/>
      <c r="X68" s="727" t="s">
        <v>645</v>
      </c>
      <c r="Y68" s="1281" t="s">
        <v>713</v>
      </c>
      <c r="Z68" s="1279" t="s">
        <v>540</v>
      </c>
      <c r="AA68" s="638"/>
      <c r="AB68" s="727" t="s">
        <v>645</v>
      </c>
      <c r="AC68" s="1281"/>
      <c r="AD68" s="1279" t="s">
        <v>540</v>
      </c>
      <c r="AE68" s="638"/>
      <c r="AF68" s="1268" t="s">
        <v>666</v>
      </c>
      <c r="AG68" s="754"/>
      <c r="AH68" s="1309">
        <v>25</v>
      </c>
      <c r="AI68" s="1275">
        <v>25</v>
      </c>
      <c r="AJ68" s="1271" t="s">
        <v>708</v>
      </c>
      <c r="AK68" s="1293" t="s">
        <v>709</v>
      </c>
      <c r="AL68" s="734"/>
      <c r="AM68" s="752"/>
      <c r="AN68" s="752"/>
      <c r="AO68" s="752"/>
      <c r="AP68" s="329"/>
      <c r="AQ68" s="752"/>
      <c r="AR68" s="735" t="s">
        <v>714</v>
      </c>
      <c r="AS68" s="885"/>
      <c r="AT68" s="886"/>
      <c r="AU68" s="727" t="s">
        <v>645</v>
      </c>
      <c r="AV68" s="886"/>
      <c r="AW68" s="886"/>
      <c r="AX68" s="886"/>
      <c r="AY68" s="727" t="s">
        <v>645</v>
      </c>
      <c r="AZ68" s="886"/>
      <c r="BA68" s="886"/>
      <c r="BB68" s="886"/>
      <c r="BC68" s="886"/>
      <c r="BD68" s="886"/>
      <c r="BE68" s="727" t="s">
        <v>645</v>
      </c>
      <c r="BF68" s="887"/>
      <c r="BG68" s="885"/>
      <c r="BH68" s="727" t="s">
        <v>645</v>
      </c>
      <c r="BI68" s="888"/>
      <c r="BJ68" s="1432">
        <v>25</v>
      </c>
      <c r="BK68" s="860"/>
      <c r="BL68" s="1316"/>
      <c r="BM68" s="1316"/>
    </row>
    <row r="69" spans="1:66" ht="125.15" customHeight="1" thickBot="1" x14ac:dyDescent="0.4">
      <c r="A69" s="1444"/>
      <c r="B69" s="673"/>
      <c r="C69" s="1301"/>
      <c r="D69" s="1301"/>
      <c r="E69" s="1380"/>
      <c r="F69" s="1364" t="s">
        <v>660</v>
      </c>
      <c r="G69" s="1365"/>
      <c r="H69" s="1365"/>
      <c r="I69" s="1365"/>
      <c r="J69" s="1365"/>
      <c r="K69" s="1365"/>
      <c r="L69" s="1365"/>
      <c r="M69" s="1365"/>
      <c r="N69" s="1366"/>
      <c r="O69" s="1301"/>
      <c r="P69" s="1301"/>
      <c r="Q69" s="614">
        <f>Indexation!J30+Indexation!J31</f>
        <v>1810553.4720000001</v>
      </c>
      <c r="R69" s="614">
        <v>2090296</v>
      </c>
      <c r="S69" s="1278"/>
      <c r="T69" s="603"/>
      <c r="U69" s="1278"/>
      <c r="V69" s="1280"/>
      <c r="W69" s="659">
        <f>Q69</f>
        <v>1810553.4720000001</v>
      </c>
      <c r="X69" s="924">
        <f>SUM(AL69:BF69)</f>
        <v>596596.00000000012</v>
      </c>
      <c r="Y69" s="1301"/>
      <c r="Z69" s="1280"/>
      <c r="AA69" s="659">
        <f>W69-X69</f>
        <v>1213957.4720000001</v>
      </c>
      <c r="AB69" s="911"/>
      <c r="AC69" s="1301"/>
      <c r="AD69" s="1280"/>
      <c r="AE69" s="659">
        <f>AA69</f>
        <v>1213957.4720000001</v>
      </c>
      <c r="AF69" s="1278"/>
      <c r="AG69" s="861"/>
      <c r="AH69" s="1310"/>
      <c r="AI69" s="1276"/>
      <c r="AJ69" s="1297"/>
      <c r="AK69" s="1300"/>
      <c r="AL69" s="912"/>
      <c r="AM69" s="913"/>
      <c r="AN69" s="913"/>
      <c r="AO69" s="913"/>
      <c r="AP69" s="619"/>
      <c r="AQ69" s="913"/>
      <c r="AR69" s="925">
        <f>Indexation!J30</f>
        <v>596596.00000000012</v>
      </c>
      <c r="AS69" s="926"/>
      <c r="AT69" s="913"/>
      <c r="AU69" s="911"/>
      <c r="AV69" s="913"/>
      <c r="AW69" s="913"/>
      <c r="AX69" s="913"/>
      <c r="AY69" s="911"/>
      <c r="AZ69" s="913"/>
      <c r="BA69" s="913"/>
      <c r="BB69" s="913"/>
      <c r="BC69" s="913"/>
      <c r="BD69" s="913"/>
      <c r="BE69" s="911"/>
      <c r="BF69" s="914"/>
      <c r="BG69" s="927"/>
      <c r="BH69" s="911"/>
      <c r="BI69" s="917"/>
      <c r="BJ69" s="1433"/>
      <c r="BK69" s="860"/>
      <c r="BL69" s="1317"/>
      <c r="BM69" s="1317"/>
    </row>
    <row r="70" spans="1:66" s="758" customFormat="1" ht="15" customHeight="1" x14ac:dyDescent="0.35">
      <c r="A70" s="862"/>
      <c r="B70" s="863" t="s">
        <v>449</v>
      </c>
      <c r="C70" s="863" t="s">
        <v>450</v>
      </c>
      <c r="D70" s="863" t="s">
        <v>451</v>
      </c>
      <c r="E70" s="863" t="s">
        <v>452</v>
      </c>
      <c r="F70" s="864"/>
      <c r="G70" s="865"/>
      <c r="H70" s="865"/>
      <c r="I70" s="865"/>
      <c r="J70" s="865" t="s">
        <v>453</v>
      </c>
      <c r="K70" s="865"/>
      <c r="L70" s="865"/>
      <c r="M70" s="865"/>
      <c r="N70" s="866"/>
      <c r="O70" s="863" t="s">
        <v>454</v>
      </c>
      <c r="P70" s="863" t="s">
        <v>455</v>
      </c>
      <c r="Q70" s="863" t="s">
        <v>456</v>
      </c>
      <c r="R70" s="863"/>
      <c r="S70" s="863" t="s">
        <v>457</v>
      </c>
      <c r="T70" s="863" t="s">
        <v>458</v>
      </c>
      <c r="U70" s="863" t="s">
        <v>459</v>
      </c>
      <c r="V70" s="863" t="s">
        <v>460</v>
      </c>
      <c r="W70" s="863" t="s">
        <v>461</v>
      </c>
      <c r="X70" s="863" t="s">
        <v>242</v>
      </c>
      <c r="Y70" s="863" t="s">
        <v>462</v>
      </c>
      <c r="Z70" s="863" t="s">
        <v>463</v>
      </c>
      <c r="AA70" s="863" t="s">
        <v>464</v>
      </c>
      <c r="AB70" s="863" t="s">
        <v>465</v>
      </c>
      <c r="AC70" s="863" t="s">
        <v>466</v>
      </c>
      <c r="AD70" s="863" t="s">
        <v>467</v>
      </c>
      <c r="AE70" s="863" t="s">
        <v>468</v>
      </c>
      <c r="AF70" s="863" t="s">
        <v>469</v>
      </c>
      <c r="AG70" s="863" t="s">
        <v>470</v>
      </c>
      <c r="AJ70" s="863" t="s">
        <v>449</v>
      </c>
      <c r="AK70" s="863" t="s">
        <v>450</v>
      </c>
      <c r="AL70" s="863" t="s">
        <v>471</v>
      </c>
      <c r="AM70" s="867" t="s">
        <v>472</v>
      </c>
      <c r="AN70" s="863" t="s">
        <v>473</v>
      </c>
      <c r="AO70" s="863" t="s">
        <v>474</v>
      </c>
      <c r="AP70" s="863" t="s">
        <v>475</v>
      </c>
      <c r="AQ70" s="863" t="s">
        <v>476</v>
      </c>
      <c r="AR70" s="863" t="s">
        <v>477</v>
      </c>
      <c r="AS70" s="863" t="s">
        <v>478</v>
      </c>
      <c r="AT70" s="863" t="s">
        <v>479</v>
      </c>
      <c r="AU70" s="863" t="s">
        <v>480</v>
      </c>
      <c r="AV70" s="863" t="s">
        <v>481</v>
      </c>
      <c r="AW70" s="863" t="s">
        <v>482</v>
      </c>
      <c r="AX70" s="863" t="s">
        <v>483</v>
      </c>
      <c r="AY70" s="863" t="s">
        <v>484</v>
      </c>
      <c r="AZ70" s="863" t="s">
        <v>485</v>
      </c>
      <c r="BA70" s="863" t="s">
        <v>486</v>
      </c>
      <c r="BB70" s="863" t="s">
        <v>487</v>
      </c>
      <c r="BC70" s="863" t="s">
        <v>488</v>
      </c>
      <c r="BD70" s="863" t="s">
        <v>489</v>
      </c>
      <c r="BE70" s="863" t="s">
        <v>490</v>
      </c>
      <c r="BF70" s="863" t="s">
        <v>491</v>
      </c>
      <c r="BG70" s="867" t="s">
        <v>492</v>
      </c>
      <c r="BH70" s="863" t="s">
        <v>493</v>
      </c>
      <c r="BI70" s="863" t="s">
        <v>494</v>
      </c>
      <c r="BJ70" s="868"/>
    </row>
    <row r="71" spans="1:66" ht="39.9" customHeight="1" x14ac:dyDescent="0.35">
      <c r="B71" s="1405" t="s">
        <v>448</v>
      </c>
      <c r="C71" s="1406"/>
      <c r="D71" s="1406"/>
      <c r="E71" s="1406"/>
      <c r="F71" s="1406"/>
      <c r="G71" s="1406"/>
      <c r="H71" s="1406"/>
      <c r="I71" s="1406"/>
      <c r="J71" s="1406"/>
      <c r="K71" s="1406"/>
      <c r="L71" s="1406"/>
      <c r="M71" s="1406"/>
      <c r="N71" s="1406"/>
      <c r="O71" s="1406"/>
      <c r="P71" s="1406"/>
      <c r="Q71" s="1406"/>
      <c r="R71" s="1406"/>
      <c r="S71" s="1406"/>
      <c r="T71" s="1406"/>
      <c r="U71" s="1406"/>
      <c r="V71" s="1406"/>
      <c r="W71" s="1406"/>
      <c r="X71" s="1406"/>
      <c r="Y71" s="1406"/>
      <c r="Z71" s="1406"/>
      <c r="AA71" s="1406"/>
      <c r="AB71" s="1406"/>
      <c r="AC71" s="1406"/>
      <c r="AD71" s="1406"/>
      <c r="AE71" s="1406"/>
      <c r="AF71" s="1406"/>
      <c r="AG71" s="1407"/>
      <c r="AJ71" s="1405" t="s">
        <v>448</v>
      </c>
      <c r="AK71" s="1406"/>
      <c r="AL71" s="1406"/>
      <c r="AM71" s="1406"/>
      <c r="AN71" s="1406"/>
      <c r="AO71" s="1406"/>
      <c r="AP71" s="1406"/>
      <c r="AQ71" s="1406"/>
      <c r="AR71" s="1406"/>
      <c r="AS71" s="1406"/>
      <c r="AT71" s="1406"/>
      <c r="AU71" s="1406"/>
      <c r="AV71" s="1406"/>
      <c r="AW71" s="1406"/>
      <c r="AX71" s="1406"/>
      <c r="AY71" s="1406"/>
      <c r="AZ71" s="1406"/>
      <c r="BA71" s="1406"/>
      <c r="BB71" s="1406"/>
      <c r="BC71" s="1406"/>
      <c r="BD71" s="1406"/>
      <c r="BE71" s="1406"/>
      <c r="BF71" s="1406"/>
      <c r="BG71" s="1406"/>
      <c r="BH71" s="1406"/>
      <c r="BI71" s="1407"/>
      <c r="BJ71" s="759"/>
      <c r="BK71" s="760"/>
      <c r="BL71" s="760"/>
      <c r="BM71" s="760"/>
      <c r="BN71" s="760"/>
    </row>
    <row r="72" spans="1:66" s="758" customFormat="1" ht="15" customHeight="1" thickBot="1" x14ac:dyDescent="0.4">
      <c r="B72" s="869" t="s">
        <v>449</v>
      </c>
      <c r="C72" s="869" t="s">
        <v>450</v>
      </c>
      <c r="D72" s="869" t="s">
        <v>451</v>
      </c>
      <c r="E72" s="869" t="s">
        <v>452</v>
      </c>
      <c r="F72" s="870"/>
      <c r="G72" s="871"/>
      <c r="H72" s="871"/>
      <c r="I72" s="871"/>
      <c r="J72" s="871" t="s">
        <v>453</v>
      </c>
      <c r="K72" s="871"/>
      <c r="L72" s="871"/>
      <c r="M72" s="871"/>
      <c r="N72" s="872"/>
      <c r="O72" s="869" t="s">
        <v>454</v>
      </c>
      <c r="P72" s="869" t="s">
        <v>455</v>
      </c>
      <c r="Q72" s="869" t="s">
        <v>456</v>
      </c>
      <c r="R72" s="869"/>
      <c r="S72" s="869" t="s">
        <v>457</v>
      </c>
      <c r="T72" s="869" t="s">
        <v>458</v>
      </c>
      <c r="U72" s="869" t="s">
        <v>459</v>
      </c>
      <c r="V72" s="869" t="s">
        <v>460</v>
      </c>
      <c r="W72" s="869" t="s">
        <v>461</v>
      </c>
      <c r="X72" s="869" t="s">
        <v>242</v>
      </c>
      <c r="Y72" s="869" t="s">
        <v>462</v>
      </c>
      <c r="Z72" s="869" t="s">
        <v>463</v>
      </c>
      <c r="AA72" s="869" t="s">
        <v>464</v>
      </c>
      <c r="AB72" s="869" t="s">
        <v>465</v>
      </c>
      <c r="AC72" s="869" t="s">
        <v>466</v>
      </c>
      <c r="AD72" s="869" t="s">
        <v>467</v>
      </c>
      <c r="AE72" s="869" t="s">
        <v>468</v>
      </c>
      <c r="AF72" s="869" t="s">
        <v>469</v>
      </c>
      <c r="AG72" s="869" t="s">
        <v>470</v>
      </c>
      <c r="AJ72" s="869" t="s">
        <v>449</v>
      </c>
      <c r="AK72" s="869" t="s">
        <v>450</v>
      </c>
      <c r="AL72" s="869" t="s">
        <v>471</v>
      </c>
      <c r="AM72" s="873" t="s">
        <v>472</v>
      </c>
      <c r="AN72" s="869" t="s">
        <v>473</v>
      </c>
      <c r="AO72" s="869" t="s">
        <v>474</v>
      </c>
      <c r="AP72" s="869" t="s">
        <v>475</v>
      </c>
      <c r="AQ72" s="869" t="s">
        <v>476</v>
      </c>
      <c r="AR72" s="869" t="s">
        <v>477</v>
      </c>
      <c r="AS72" s="869" t="s">
        <v>478</v>
      </c>
      <c r="AT72" s="869" t="s">
        <v>479</v>
      </c>
      <c r="AU72" s="869" t="s">
        <v>480</v>
      </c>
      <c r="AV72" s="869" t="s">
        <v>481</v>
      </c>
      <c r="AW72" s="869" t="s">
        <v>482</v>
      </c>
      <c r="AX72" s="869" t="s">
        <v>483</v>
      </c>
      <c r="AY72" s="869" t="s">
        <v>484</v>
      </c>
      <c r="AZ72" s="869" t="s">
        <v>485</v>
      </c>
      <c r="BA72" s="869" t="s">
        <v>486</v>
      </c>
      <c r="BB72" s="869" t="s">
        <v>487</v>
      </c>
      <c r="BC72" s="869" t="s">
        <v>488</v>
      </c>
      <c r="BD72" s="869" t="s">
        <v>489</v>
      </c>
      <c r="BE72" s="869" t="s">
        <v>490</v>
      </c>
      <c r="BF72" s="869" t="s">
        <v>491</v>
      </c>
      <c r="BG72" s="873" t="s">
        <v>492</v>
      </c>
      <c r="BH72" s="869" t="s">
        <v>493</v>
      </c>
      <c r="BI72" s="869" t="s">
        <v>494</v>
      </c>
    </row>
    <row r="73" spans="1:66" ht="99.9" customHeight="1" thickTop="1" x14ac:dyDescent="0.35">
      <c r="B73" s="1408" t="s">
        <v>2231</v>
      </c>
      <c r="C73" s="874"/>
      <c r="D73" s="1285" t="s">
        <v>495</v>
      </c>
      <c r="E73" s="1402" t="s">
        <v>496</v>
      </c>
      <c r="F73" s="1403" t="s">
        <v>219</v>
      </c>
      <c r="G73" s="1403"/>
      <c r="H73" s="1403"/>
      <c r="I73" s="1403"/>
      <c r="J73" s="1403"/>
      <c r="K73" s="1403"/>
      <c r="L73" s="1403"/>
      <c r="M73" s="1403"/>
      <c r="N73" s="1403"/>
      <c r="O73" s="1285" t="s">
        <v>214</v>
      </c>
      <c r="P73" s="1404" t="s">
        <v>497</v>
      </c>
      <c r="Q73" s="1285" t="s">
        <v>498</v>
      </c>
      <c r="R73" s="1321" t="s">
        <v>2183</v>
      </c>
      <c r="S73" s="1318" t="s">
        <v>499</v>
      </c>
      <c r="T73" s="1319" t="s">
        <v>2</v>
      </c>
      <c r="U73" s="1318" t="s">
        <v>500</v>
      </c>
      <c r="V73" s="1287" t="s">
        <v>501</v>
      </c>
      <c r="W73" s="1289" t="s">
        <v>502</v>
      </c>
      <c r="X73" s="1283" t="s">
        <v>503</v>
      </c>
      <c r="Y73" s="1285" t="s">
        <v>504</v>
      </c>
      <c r="Z73" s="1287" t="s">
        <v>505</v>
      </c>
      <c r="AA73" s="1289" t="s">
        <v>506</v>
      </c>
      <c r="AB73" s="1283" t="s">
        <v>507</v>
      </c>
      <c r="AC73" s="1285" t="s">
        <v>504</v>
      </c>
      <c r="AD73" s="1287" t="s">
        <v>505</v>
      </c>
      <c r="AE73" s="1289" t="s">
        <v>508</v>
      </c>
      <c r="AF73" s="1285" t="s">
        <v>509</v>
      </c>
      <c r="AG73" s="1273" t="s">
        <v>510</v>
      </c>
      <c r="AJ73" s="1298" t="s">
        <v>2231</v>
      </c>
      <c r="AK73" s="875"/>
      <c r="AL73" s="876" t="s">
        <v>2234</v>
      </c>
      <c r="AM73" s="877" t="s">
        <v>2235</v>
      </c>
      <c r="AN73" s="877" t="s">
        <v>2236</v>
      </c>
      <c r="AO73" s="877" t="s">
        <v>2237</v>
      </c>
      <c r="AP73" s="877" t="s">
        <v>2238</v>
      </c>
      <c r="AQ73" s="877" t="s">
        <v>2239</v>
      </c>
      <c r="AR73" s="878" t="s">
        <v>2240</v>
      </c>
      <c r="AS73" s="879" t="s">
        <v>2241</v>
      </c>
      <c r="AT73" s="877" t="s">
        <v>2242</v>
      </c>
      <c r="AU73" s="877" t="s">
        <v>2243</v>
      </c>
      <c r="AV73" s="877" t="s">
        <v>2244</v>
      </c>
      <c r="AW73" s="877" t="s">
        <v>2245</v>
      </c>
      <c r="AX73" s="877" t="s">
        <v>2246</v>
      </c>
      <c r="AY73" s="877" t="s">
        <v>2247</v>
      </c>
      <c r="AZ73" s="877" t="s">
        <v>2248</v>
      </c>
      <c r="BA73" s="877" t="s">
        <v>2249</v>
      </c>
      <c r="BB73" s="877" t="s">
        <v>2250</v>
      </c>
      <c r="BC73" s="877" t="s">
        <v>2251</v>
      </c>
      <c r="BD73" s="877" t="s">
        <v>2252</v>
      </c>
      <c r="BE73" s="877" t="s">
        <v>2253</v>
      </c>
      <c r="BF73" s="878" t="s">
        <v>2254</v>
      </c>
      <c r="BG73" s="879" t="s">
        <v>2255</v>
      </c>
      <c r="BH73" s="1436" t="s">
        <v>41</v>
      </c>
      <c r="BI73" s="1437" t="s">
        <v>42</v>
      </c>
      <c r="BJ73" s="776"/>
      <c r="BK73" s="777"/>
      <c r="BL73" s="778"/>
      <c r="BM73" s="778"/>
    </row>
    <row r="74" spans="1:66" s="793" customFormat="1" ht="50.15" customHeight="1" x14ac:dyDescent="0.35">
      <c r="A74" s="928"/>
      <c r="B74" s="1393"/>
      <c r="C74" s="780" t="s">
        <v>511</v>
      </c>
      <c r="D74" s="1286"/>
      <c r="E74" s="1395"/>
      <c r="F74" s="333" t="s">
        <v>512</v>
      </c>
      <c r="G74" s="333" t="s">
        <v>513</v>
      </c>
      <c r="H74" s="333" t="s">
        <v>514</v>
      </c>
      <c r="I74" s="333" t="s">
        <v>515</v>
      </c>
      <c r="J74" s="333" t="s">
        <v>516</v>
      </c>
      <c r="K74" s="333" t="s">
        <v>517</v>
      </c>
      <c r="L74" s="333" t="s">
        <v>518</v>
      </c>
      <c r="M74" s="333" t="s">
        <v>519</v>
      </c>
      <c r="N74" s="333" t="s">
        <v>520</v>
      </c>
      <c r="O74" s="1397"/>
      <c r="P74" s="1401"/>
      <c r="Q74" s="1286"/>
      <c r="R74" s="1322"/>
      <c r="S74" s="1241"/>
      <c r="T74" s="1320"/>
      <c r="U74" s="1241"/>
      <c r="V74" s="1288"/>
      <c r="W74" s="1290"/>
      <c r="X74" s="1284"/>
      <c r="Y74" s="1286"/>
      <c r="Z74" s="1288"/>
      <c r="AA74" s="1290"/>
      <c r="AB74" s="1284"/>
      <c r="AC74" s="1286"/>
      <c r="AD74" s="1288"/>
      <c r="AE74" s="1290"/>
      <c r="AF74" s="1286"/>
      <c r="AG74" s="1274"/>
      <c r="AH74" s="880"/>
      <c r="AI74" s="880"/>
      <c r="AJ74" s="1299"/>
      <c r="AK74" s="783" t="s">
        <v>511</v>
      </c>
      <c r="AL74" s="784">
        <v>8500</v>
      </c>
      <c r="AM74" s="785">
        <v>1500</v>
      </c>
      <c r="AN74" s="785">
        <v>2600</v>
      </c>
      <c r="AO74" s="786">
        <v>750</v>
      </c>
      <c r="AP74" s="786" t="s">
        <v>48</v>
      </c>
      <c r="AQ74" s="785">
        <v>2100</v>
      </c>
      <c r="AR74" s="787">
        <v>1050</v>
      </c>
      <c r="AS74" s="788">
        <v>550</v>
      </c>
      <c r="AT74" s="786">
        <v>70</v>
      </c>
      <c r="AU74" s="786">
        <v>30</v>
      </c>
      <c r="AV74" s="786">
        <v>35</v>
      </c>
      <c r="AW74" s="786">
        <v>35</v>
      </c>
      <c r="AX74" s="786">
        <v>20</v>
      </c>
      <c r="AY74" s="786">
        <v>16</v>
      </c>
      <c r="AZ74" s="786">
        <v>15</v>
      </c>
      <c r="BA74" s="786">
        <v>13</v>
      </c>
      <c r="BB74" s="786">
        <v>10</v>
      </c>
      <c r="BC74" s="786">
        <v>10</v>
      </c>
      <c r="BD74" s="786">
        <v>10</v>
      </c>
      <c r="BE74" s="786">
        <v>10</v>
      </c>
      <c r="BF74" s="789">
        <v>10</v>
      </c>
      <c r="BG74" s="790">
        <v>2120</v>
      </c>
      <c r="BH74" s="1399"/>
      <c r="BI74" s="1383"/>
      <c r="BJ74" s="776"/>
      <c r="BK74" s="791"/>
      <c r="BL74" s="792"/>
      <c r="BM74" s="792"/>
    </row>
    <row r="75" spans="1:66" ht="17.25" customHeight="1" x14ac:dyDescent="0.35">
      <c r="A75" s="929"/>
      <c r="B75" s="795"/>
      <c r="C75" s="819" t="s">
        <v>2268</v>
      </c>
      <c r="D75" s="302"/>
      <c r="E75" s="555"/>
      <c r="F75" s="303"/>
      <c r="G75" s="303"/>
      <c r="H75" s="303"/>
      <c r="I75" s="303"/>
      <c r="J75" s="303"/>
      <c r="K75" s="303"/>
      <c r="L75" s="303"/>
      <c r="M75" s="303"/>
      <c r="N75" s="307"/>
      <c r="O75" s="303"/>
      <c r="P75" s="302"/>
      <c r="Q75" s="305"/>
      <c r="R75" s="305"/>
      <c r="S75" s="306"/>
      <c r="T75" s="305"/>
      <c r="U75" s="305"/>
      <c r="V75" s="560"/>
      <c r="W75" s="584"/>
      <c r="X75" s="305"/>
      <c r="Y75" s="307"/>
      <c r="Z75" s="560"/>
      <c r="AA75" s="584"/>
      <c r="AB75" s="305"/>
      <c r="AC75" s="307"/>
      <c r="AD75" s="560"/>
      <c r="AE75" s="584"/>
      <c r="AF75" s="302"/>
      <c r="AG75" s="820"/>
      <c r="AH75" s="881"/>
      <c r="AI75" s="881"/>
      <c r="AJ75" s="800"/>
      <c r="AK75" s="822" t="s">
        <v>2268</v>
      </c>
      <c r="AL75" s="802"/>
      <c r="AM75" s="803"/>
      <c r="AN75" s="804"/>
      <c r="AO75" s="803"/>
      <c r="AP75" s="803"/>
      <c r="AQ75" s="803"/>
      <c r="AR75" s="804"/>
      <c r="AS75" s="805"/>
      <c r="AT75" s="803"/>
      <c r="AU75" s="803"/>
      <c r="AV75" s="803"/>
      <c r="AW75" s="803"/>
      <c r="AX75" s="803"/>
      <c r="AY75" s="803"/>
      <c r="AZ75" s="803"/>
      <c r="BA75" s="803"/>
      <c r="BB75" s="803"/>
      <c r="BC75" s="803"/>
      <c r="BD75" s="803"/>
      <c r="BE75" s="803"/>
      <c r="BF75" s="804"/>
      <c r="BG75" s="805"/>
      <c r="BH75" s="302"/>
      <c r="BI75" s="570"/>
      <c r="BJ75" s="881"/>
      <c r="BK75" s="860"/>
      <c r="BL75" s="910"/>
      <c r="BM75" s="807"/>
    </row>
    <row r="76" spans="1:66" ht="125.15" customHeight="1" x14ac:dyDescent="0.35">
      <c r="A76" s="1443">
        <v>26</v>
      </c>
      <c r="B76" s="672" t="s">
        <v>715</v>
      </c>
      <c r="C76" s="1281" t="s">
        <v>716</v>
      </c>
      <c r="D76" s="1281" t="s">
        <v>651</v>
      </c>
      <c r="E76" s="1379"/>
      <c r="F76" s="856"/>
      <c r="G76" s="857"/>
      <c r="H76" s="857"/>
      <c r="I76" s="857"/>
      <c r="J76" s="857"/>
      <c r="K76" s="857"/>
      <c r="L76" s="857"/>
      <c r="M76" s="857"/>
      <c r="N76" s="858"/>
      <c r="O76" s="1281" t="s">
        <v>652</v>
      </c>
      <c r="P76" s="1281" t="s">
        <v>717</v>
      </c>
      <c r="Q76" s="324" t="s">
        <v>718</v>
      </c>
      <c r="R76" s="324"/>
      <c r="S76" s="1268" t="s">
        <v>719</v>
      </c>
      <c r="T76" s="329"/>
      <c r="U76" s="1268" t="s">
        <v>656</v>
      </c>
      <c r="V76" s="1279" t="s">
        <v>720</v>
      </c>
      <c r="W76" s="638"/>
      <c r="X76" s="727" t="s">
        <v>721</v>
      </c>
      <c r="Y76" s="1281" t="s">
        <v>722</v>
      </c>
      <c r="Z76" s="1306" t="s">
        <v>540</v>
      </c>
      <c r="AA76" s="638"/>
      <c r="AB76" s="727" t="s">
        <v>645</v>
      </c>
      <c r="AC76" s="1281"/>
      <c r="AD76" s="1306" t="s">
        <v>540</v>
      </c>
      <c r="AE76" s="638"/>
      <c r="AF76" s="1268" t="s">
        <v>723</v>
      </c>
      <c r="AG76" s="812"/>
      <c r="AH76" s="1309">
        <v>26</v>
      </c>
      <c r="AI76" s="1275">
        <v>26</v>
      </c>
      <c r="AJ76" s="1271" t="s">
        <v>715</v>
      </c>
      <c r="AK76" s="1293" t="s">
        <v>716</v>
      </c>
      <c r="AL76" s="734"/>
      <c r="AM76" s="752"/>
      <c r="AN76" s="752"/>
      <c r="AO76" s="752"/>
      <c r="AP76" s="329"/>
      <c r="AQ76" s="833" t="s">
        <v>714</v>
      </c>
      <c r="AR76" s="884"/>
      <c r="AS76" s="885"/>
      <c r="AT76" s="886"/>
      <c r="AU76" s="727" t="s">
        <v>645</v>
      </c>
      <c r="AV76" s="886"/>
      <c r="AW76" s="886"/>
      <c r="AX76" s="886"/>
      <c r="AY76" s="886"/>
      <c r="AZ76" s="727" t="s">
        <v>645</v>
      </c>
      <c r="BA76" s="886"/>
      <c r="BB76" s="886"/>
      <c r="BC76" s="886"/>
      <c r="BD76" s="886"/>
      <c r="BE76" s="886"/>
      <c r="BF76" s="887"/>
      <c r="BG76" s="885"/>
      <c r="BH76" s="727" t="s">
        <v>645</v>
      </c>
      <c r="BI76" s="888"/>
      <c r="BJ76" s="1432">
        <v>26</v>
      </c>
      <c r="BK76" s="860"/>
      <c r="BL76" s="1316"/>
      <c r="BM76" s="1316"/>
    </row>
    <row r="77" spans="1:66" ht="125.15" customHeight="1" x14ac:dyDescent="0.35">
      <c r="A77" s="1444"/>
      <c r="B77" s="671"/>
      <c r="C77" s="1282"/>
      <c r="D77" s="1282"/>
      <c r="E77" s="1381"/>
      <c r="F77" s="1313" t="s">
        <v>660</v>
      </c>
      <c r="G77" s="1314"/>
      <c r="H77" s="1314"/>
      <c r="I77" s="1314"/>
      <c r="J77" s="1314"/>
      <c r="K77" s="1314"/>
      <c r="L77" s="1314"/>
      <c r="M77" s="1314"/>
      <c r="N77" s="1315"/>
      <c r="O77" s="1282"/>
      <c r="P77" s="1282"/>
      <c r="Q77" s="456">
        <f>Indexation!J32+Indexation!J33</f>
        <v>3287209.7440000004</v>
      </c>
      <c r="R77" s="456">
        <v>3795105</v>
      </c>
      <c r="S77" s="1270"/>
      <c r="T77" s="328"/>
      <c r="U77" s="1270"/>
      <c r="V77" s="1308"/>
      <c r="W77" s="637">
        <f>Q77</f>
        <v>3287209.7440000004</v>
      </c>
      <c r="X77" s="907">
        <f>SUM(AL77:BF77)</f>
        <v>249248.27200000006</v>
      </c>
      <c r="Y77" s="1282"/>
      <c r="Z77" s="1307"/>
      <c r="AA77" s="637">
        <f>W77-X77</f>
        <v>3037961.4720000005</v>
      </c>
      <c r="AB77" s="906"/>
      <c r="AC77" s="1282"/>
      <c r="AD77" s="1307"/>
      <c r="AE77" s="637">
        <f>AA77</f>
        <v>3037961.4720000005</v>
      </c>
      <c r="AF77" s="1270"/>
      <c r="AG77" s="755"/>
      <c r="AH77" s="1310"/>
      <c r="AI77" s="1276"/>
      <c r="AJ77" s="1272"/>
      <c r="AK77" s="1295"/>
      <c r="AL77" s="905"/>
      <c r="AM77" s="899"/>
      <c r="AN77" s="899"/>
      <c r="AO77" s="899"/>
      <c r="AP77" s="477"/>
      <c r="AQ77" s="907">
        <f>Indexation!J32</f>
        <v>249248.27200000006</v>
      </c>
      <c r="AR77" s="900"/>
      <c r="AS77" s="901"/>
      <c r="AT77" s="899"/>
      <c r="AU77" s="906"/>
      <c r="AV77" s="899"/>
      <c r="AW77" s="899"/>
      <c r="AX77" s="899"/>
      <c r="AY77" s="899"/>
      <c r="AZ77" s="906"/>
      <c r="BA77" s="899"/>
      <c r="BB77" s="899"/>
      <c r="BC77" s="899"/>
      <c r="BD77" s="899"/>
      <c r="BE77" s="899"/>
      <c r="BF77" s="900"/>
      <c r="BG77" s="902"/>
      <c r="BH77" s="906"/>
      <c r="BI77" s="903"/>
      <c r="BJ77" s="1433"/>
      <c r="BK77" s="860"/>
      <c r="BL77" s="1317"/>
      <c r="BM77" s="1317"/>
    </row>
    <row r="78" spans="1:66" ht="125.15" customHeight="1" x14ac:dyDescent="0.35">
      <c r="A78" s="1443">
        <v>27</v>
      </c>
      <c r="B78" s="1362" t="s">
        <v>724</v>
      </c>
      <c r="C78" s="1302" t="s">
        <v>725</v>
      </c>
      <c r="D78" s="1302" t="s">
        <v>726</v>
      </c>
      <c r="E78" s="1375"/>
      <c r="F78" s="918"/>
      <c r="G78" s="919"/>
      <c r="H78" s="919"/>
      <c r="I78" s="919"/>
      <c r="J78" s="919"/>
      <c r="K78" s="919"/>
      <c r="L78" s="919"/>
      <c r="M78" s="919"/>
      <c r="N78" s="920"/>
      <c r="O78" s="1302" t="s">
        <v>642</v>
      </c>
      <c r="P78" s="1302" t="s">
        <v>727</v>
      </c>
      <c r="Q78" s="330" t="s">
        <v>728</v>
      </c>
      <c r="R78" s="330"/>
      <c r="S78" s="1269" t="s">
        <v>729</v>
      </c>
      <c r="T78" s="331"/>
      <c r="U78" s="1269"/>
      <c r="V78" s="1280" t="s">
        <v>730</v>
      </c>
      <c r="W78" s="598"/>
      <c r="X78" s="598"/>
      <c r="Y78" s="1302" t="s">
        <v>731</v>
      </c>
      <c r="Z78" s="1280" t="s">
        <v>730</v>
      </c>
      <c r="AA78" s="610"/>
      <c r="AB78" s="552"/>
      <c r="AC78" s="1302"/>
      <c r="AD78" s="1280"/>
      <c r="AE78" s="610"/>
      <c r="AF78" s="892"/>
      <c r="AG78" s="812"/>
      <c r="AH78" s="1309">
        <v>27</v>
      </c>
      <c r="AI78" s="1275">
        <v>27</v>
      </c>
      <c r="AJ78" s="1296" t="s">
        <v>724</v>
      </c>
      <c r="AK78" s="1294" t="s">
        <v>732</v>
      </c>
      <c r="AL78" s="930" t="s">
        <v>733</v>
      </c>
      <c r="AM78" s="921" t="s">
        <v>734</v>
      </c>
      <c r="AN78" s="921" t="s">
        <v>735</v>
      </c>
      <c r="AO78" s="921" t="s">
        <v>735</v>
      </c>
      <c r="AP78" s="331"/>
      <c r="AQ78" s="921" t="s">
        <v>735</v>
      </c>
      <c r="AR78" s="922" t="s">
        <v>735</v>
      </c>
      <c r="AS78" s="896"/>
      <c r="AT78" s="893"/>
      <c r="AU78" s="893"/>
      <c r="AV78" s="893"/>
      <c r="AW78" s="893"/>
      <c r="AX78" s="893"/>
      <c r="AY78" s="893"/>
      <c r="AZ78" s="893"/>
      <c r="BA78" s="893"/>
      <c r="BB78" s="893"/>
      <c r="BC78" s="893"/>
      <c r="BD78" s="893"/>
      <c r="BE78" s="893"/>
      <c r="BF78" s="894"/>
      <c r="BG78" s="896"/>
      <c r="BH78" s="893"/>
      <c r="BI78" s="897"/>
      <c r="BJ78" s="1432">
        <v>27</v>
      </c>
      <c r="BK78" s="860"/>
      <c r="BL78" s="1316"/>
      <c r="BM78" s="1316"/>
    </row>
    <row r="79" spans="1:66" ht="125.15" customHeight="1" x14ac:dyDescent="0.35">
      <c r="A79" s="1444"/>
      <c r="B79" s="1359"/>
      <c r="C79" s="1282"/>
      <c r="D79" s="1282"/>
      <c r="E79" s="1381"/>
      <c r="F79" s="1313" t="s">
        <v>736</v>
      </c>
      <c r="G79" s="1314"/>
      <c r="H79" s="1314"/>
      <c r="I79" s="1314"/>
      <c r="J79" s="1314"/>
      <c r="K79" s="1314"/>
      <c r="L79" s="1314"/>
      <c r="M79" s="1314"/>
      <c r="N79" s="1315"/>
      <c r="O79" s="1282"/>
      <c r="P79" s="1282"/>
      <c r="Q79" s="456"/>
      <c r="R79" s="456"/>
      <c r="S79" s="1270"/>
      <c r="T79" s="328"/>
      <c r="U79" s="1270"/>
      <c r="V79" s="1280"/>
      <c r="W79" s="598"/>
      <c r="X79" s="598"/>
      <c r="Y79" s="1282"/>
      <c r="Z79" s="1280"/>
      <c r="AA79" s="598"/>
      <c r="AB79" s="477"/>
      <c r="AC79" s="1282"/>
      <c r="AD79" s="1280"/>
      <c r="AE79" s="598"/>
      <c r="AF79" s="898"/>
      <c r="AG79" s="812"/>
      <c r="AH79" s="1310"/>
      <c r="AI79" s="1276"/>
      <c r="AJ79" s="1272"/>
      <c r="AK79" s="1295"/>
      <c r="AL79" s="931"/>
      <c r="AM79" s="907"/>
      <c r="AN79" s="906"/>
      <c r="AO79" s="906"/>
      <c r="AP79" s="477"/>
      <c r="AQ79" s="906"/>
      <c r="AR79" s="909"/>
      <c r="AS79" s="901"/>
      <c r="AT79" s="899"/>
      <c r="AU79" s="899"/>
      <c r="AV79" s="899"/>
      <c r="AW79" s="899"/>
      <c r="AX79" s="899"/>
      <c r="AY79" s="899"/>
      <c r="AZ79" s="899"/>
      <c r="BA79" s="899"/>
      <c r="BB79" s="899"/>
      <c r="BC79" s="899"/>
      <c r="BD79" s="899"/>
      <c r="BE79" s="899"/>
      <c r="BF79" s="900"/>
      <c r="BG79" s="902"/>
      <c r="BH79" s="899"/>
      <c r="BI79" s="903"/>
      <c r="BJ79" s="1433"/>
      <c r="BK79" s="860"/>
      <c r="BL79" s="1317"/>
      <c r="BM79" s="1317"/>
    </row>
    <row r="80" spans="1:66" ht="125.15" customHeight="1" x14ac:dyDescent="0.35">
      <c r="A80" s="1443">
        <v>28</v>
      </c>
      <c r="B80" s="1358" t="s">
        <v>737</v>
      </c>
      <c r="C80" s="1281" t="s">
        <v>738</v>
      </c>
      <c r="D80" s="1281" t="s">
        <v>739</v>
      </c>
      <c r="E80" s="1379"/>
      <c r="F80" s="856"/>
      <c r="G80" s="857"/>
      <c r="H80" s="857"/>
      <c r="I80" s="857"/>
      <c r="J80" s="857"/>
      <c r="K80" s="857"/>
      <c r="L80" s="857"/>
      <c r="M80" s="857"/>
      <c r="N80" s="858"/>
      <c r="O80" s="1281" t="s">
        <v>740</v>
      </c>
      <c r="P80" s="1281" t="s">
        <v>741</v>
      </c>
      <c r="Q80" s="324" t="s">
        <v>742</v>
      </c>
      <c r="R80" s="324" t="s">
        <v>2187</v>
      </c>
      <c r="S80" s="1268" t="s">
        <v>743</v>
      </c>
      <c r="T80" s="329"/>
      <c r="U80" s="1268" t="s">
        <v>744</v>
      </c>
      <c r="V80" s="1279" t="s">
        <v>745</v>
      </c>
      <c r="W80" s="638"/>
      <c r="X80" s="568"/>
      <c r="Y80" s="1281" t="s">
        <v>746</v>
      </c>
      <c r="Z80" s="1279" t="s">
        <v>745</v>
      </c>
      <c r="AA80" s="636"/>
      <c r="AB80" s="727" t="s">
        <v>747</v>
      </c>
      <c r="AC80" s="1281"/>
      <c r="AD80" s="1279"/>
      <c r="AE80" s="618"/>
      <c r="AF80" s="832" t="s">
        <v>748</v>
      </c>
      <c r="AG80" s="754"/>
      <c r="AH80" s="1309">
        <v>28</v>
      </c>
      <c r="AI80" s="1275">
        <v>28</v>
      </c>
      <c r="AJ80" s="1271" t="s">
        <v>737</v>
      </c>
      <c r="AK80" s="1293" t="s">
        <v>749</v>
      </c>
      <c r="AL80" s="834" t="s">
        <v>750</v>
      </c>
      <c r="AM80" s="727" t="s">
        <v>750</v>
      </c>
      <c r="AN80" s="727" t="s">
        <v>747</v>
      </c>
      <c r="AO80" s="727" t="s">
        <v>747</v>
      </c>
      <c r="AP80" s="329"/>
      <c r="AQ80" s="727" t="s">
        <v>747</v>
      </c>
      <c r="AR80" s="732" t="s">
        <v>747</v>
      </c>
      <c r="AS80" s="834" t="s">
        <v>747</v>
      </c>
      <c r="AT80" s="886"/>
      <c r="AU80" s="886"/>
      <c r="AV80" s="886"/>
      <c r="AW80" s="886"/>
      <c r="AX80" s="886"/>
      <c r="AY80" s="886"/>
      <c r="AZ80" s="886"/>
      <c r="BA80" s="886"/>
      <c r="BB80" s="886"/>
      <c r="BC80" s="886"/>
      <c r="BD80" s="886"/>
      <c r="BE80" s="886"/>
      <c r="BF80" s="887"/>
      <c r="BG80" s="834" t="s">
        <v>747</v>
      </c>
      <c r="BH80" s="727" t="s">
        <v>747</v>
      </c>
      <c r="BI80" s="888"/>
      <c r="BJ80" s="1432">
        <v>28</v>
      </c>
      <c r="BK80" s="860"/>
      <c r="BL80" s="1316"/>
      <c r="BM80" s="1316"/>
    </row>
    <row r="81" spans="1:66" ht="178.4" customHeight="1" x14ac:dyDescent="0.35">
      <c r="A81" s="1444"/>
      <c r="B81" s="1359"/>
      <c r="C81" s="1282"/>
      <c r="D81" s="1282"/>
      <c r="E81" s="1381"/>
      <c r="F81" s="1313" t="s">
        <v>751</v>
      </c>
      <c r="G81" s="1314"/>
      <c r="H81" s="1314"/>
      <c r="I81" s="1314"/>
      <c r="J81" s="1314"/>
      <c r="K81" s="1314"/>
      <c r="L81" s="1314"/>
      <c r="M81" s="1314"/>
      <c r="N81" s="1315"/>
      <c r="O81" s="1282"/>
      <c r="P81" s="1282"/>
      <c r="Q81" s="456">
        <v>5288235</v>
      </c>
      <c r="R81" s="456"/>
      <c r="S81" s="1270"/>
      <c r="T81" s="328"/>
      <c r="U81" s="1270"/>
      <c r="V81" s="1280"/>
      <c r="W81" s="637">
        <f>Q81</f>
        <v>5288235</v>
      </c>
      <c r="X81" s="564">
        <f>Q81</f>
        <v>5288235</v>
      </c>
      <c r="Y81" s="1282"/>
      <c r="Z81" s="1280"/>
      <c r="AA81" s="637">
        <f>W81-X81</f>
        <v>0</v>
      </c>
      <c r="AB81" s="906"/>
      <c r="AC81" s="1282"/>
      <c r="AD81" s="1280"/>
      <c r="AE81" s="628"/>
      <c r="AF81" s="898"/>
      <c r="AG81" s="755"/>
      <c r="AH81" s="1310"/>
      <c r="AI81" s="1276"/>
      <c r="AJ81" s="1272"/>
      <c r="AK81" s="1295"/>
      <c r="AL81" s="837">
        <f>X81*AL4/(AL4+AM4)</f>
        <v>4494999.75</v>
      </c>
      <c r="AM81" s="836">
        <f>X81*AM4/(AL4+AM4)</f>
        <v>793235.25</v>
      </c>
      <c r="AN81" s="906"/>
      <c r="AO81" s="906"/>
      <c r="AP81" s="477"/>
      <c r="AQ81" s="906"/>
      <c r="AR81" s="909"/>
      <c r="AS81" s="908"/>
      <c r="AT81" s="899"/>
      <c r="AU81" s="899"/>
      <c r="AV81" s="753"/>
      <c r="AW81" s="899"/>
      <c r="AX81" s="899"/>
      <c r="AY81" s="899"/>
      <c r="AZ81" s="899"/>
      <c r="BA81" s="899"/>
      <c r="BB81" s="899"/>
      <c r="BC81" s="899"/>
      <c r="BD81" s="899"/>
      <c r="BE81" s="899"/>
      <c r="BF81" s="900"/>
      <c r="BG81" s="908"/>
      <c r="BH81" s="906"/>
      <c r="BI81" s="903"/>
      <c r="BJ81" s="1433"/>
      <c r="BK81" s="860"/>
      <c r="BL81" s="1317"/>
      <c r="BM81" s="1317"/>
    </row>
    <row r="82" spans="1:66" ht="125.15" customHeight="1" x14ac:dyDescent="0.35">
      <c r="A82" s="1443">
        <v>29</v>
      </c>
      <c r="B82" s="1358" t="s">
        <v>752</v>
      </c>
      <c r="C82" s="1281" t="s">
        <v>753</v>
      </c>
      <c r="D82" s="1281" t="s">
        <v>754</v>
      </c>
      <c r="E82" s="1379"/>
      <c r="F82" s="856"/>
      <c r="G82" s="857"/>
      <c r="H82" s="857"/>
      <c r="I82" s="857"/>
      <c r="J82" s="857"/>
      <c r="K82" s="857"/>
      <c r="L82" s="857"/>
      <c r="M82" s="857"/>
      <c r="N82" s="858"/>
      <c r="O82" s="1281" t="s">
        <v>755</v>
      </c>
      <c r="P82" s="1281" t="s">
        <v>756</v>
      </c>
      <c r="Q82" s="324"/>
      <c r="R82" s="324" t="s">
        <v>2186</v>
      </c>
      <c r="S82" s="1268" t="s">
        <v>757</v>
      </c>
      <c r="T82" s="329"/>
      <c r="U82" s="1268" t="s">
        <v>656</v>
      </c>
      <c r="V82" s="1279" t="s">
        <v>745</v>
      </c>
      <c r="W82" s="638"/>
      <c r="X82" s="932" t="s">
        <v>758</v>
      </c>
      <c r="Y82" s="1281" t="s">
        <v>759</v>
      </c>
      <c r="Z82" s="1279" t="s">
        <v>745</v>
      </c>
      <c r="AA82" s="618"/>
      <c r="AB82" s="338"/>
      <c r="AC82" s="1281"/>
      <c r="AD82" s="1279"/>
      <c r="AE82" s="618"/>
      <c r="AF82" s="832"/>
      <c r="AG82" s="812"/>
      <c r="AH82" s="1309">
        <v>29</v>
      </c>
      <c r="AI82" s="1275">
        <v>29</v>
      </c>
      <c r="AJ82" s="1271" t="s">
        <v>752</v>
      </c>
      <c r="AK82" s="1293" t="s">
        <v>753</v>
      </c>
      <c r="AL82" s="834" t="s">
        <v>760</v>
      </c>
      <c r="AM82" s="727" t="s">
        <v>760</v>
      </c>
      <c r="AN82" s="727" t="s">
        <v>758</v>
      </c>
      <c r="AO82" s="727" t="s">
        <v>758</v>
      </c>
      <c r="AP82" s="329"/>
      <c r="AQ82" s="727" t="s">
        <v>758</v>
      </c>
      <c r="AR82" s="732" t="s">
        <v>758</v>
      </c>
      <c r="AS82" s="834" t="s">
        <v>758</v>
      </c>
      <c r="AT82" s="727" t="s">
        <v>758</v>
      </c>
      <c r="AU82" s="727" t="s">
        <v>758</v>
      </c>
      <c r="AV82" s="727" t="s">
        <v>758</v>
      </c>
      <c r="AW82" s="727" t="s">
        <v>758</v>
      </c>
      <c r="AX82" s="727" t="s">
        <v>758</v>
      </c>
      <c r="AY82" s="727" t="s">
        <v>758</v>
      </c>
      <c r="AZ82" s="727" t="s">
        <v>758</v>
      </c>
      <c r="BA82" s="727" t="s">
        <v>758</v>
      </c>
      <c r="BB82" s="727" t="s">
        <v>758</v>
      </c>
      <c r="BC82" s="727" t="s">
        <v>758</v>
      </c>
      <c r="BD82" s="727" t="s">
        <v>758</v>
      </c>
      <c r="BE82" s="727" t="s">
        <v>758</v>
      </c>
      <c r="BF82" s="732" t="s">
        <v>758</v>
      </c>
      <c r="BG82" s="834" t="s">
        <v>758</v>
      </c>
      <c r="BH82" s="727" t="s">
        <v>758</v>
      </c>
      <c r="BI82" s="888"/>
      <c r="BJ82" s="1432">
        <v>29</v>
      </c>
      <c r="BK82" s="860"/>
      <c r="BL82" s="1316"/>
      <c r="BM82" s="1316"/>
    </row>
    <row r="83" spans="1:66" ht="125.15" customHeight="1" x14ac:dyDescent="0.35">
      <c r="A83" s="1444"/>
      <c r="B83" s="1359"/>
      <c r="C83" s="1282"/>
      <c r="D83" s="1282"/>
      <c r="E83" s="1381"/>
      <c r="F83" s="1313" t="s">
        <v>736</v>
      </c>
      <c r="G83" s="1314"/>
      <c r="H83" s="1314"/>
      <c r="I83" s="1314"/>
      <c r="J83" s="1314"/>
      <c r="K83" s="1314"/>
      <c r="L83" s="1314"/>
      <c r="M83" s="1314"/>
      <c r="N83" s="1315"/>
      <c r="O83" s="1282"/>
      <c r="P83" s="1282"/>
      <c r="Q83" s="456">
        <v>75000</v>
      </c>
      <c r="R83" s="456"/>
      <c r="S83" s="1270"/>
      <c r="T83" s="328"/>
      <c r="U83" s="1270"/>
      <c r="V83" s="1308"/>
      <c r="W83" s="637">
        <f>Q83</f>
        <v>75000</v>
      </c>
      <c r="X83" s="907">
        <v>75000</v>
      </c>
      <c r="Y83" s="1282"/>
      <c r="Z83" s="1308"/>
      <c r="AA83" s="628"/>
      <c r="AB83" s="753"/>
      <c r="AC83" s="1282"/>
      <c r="AD83" s="1308"/>
      <c r="AE83" s="598"/>
      <c r="AF83" s="898"/>
      <c r="AG83" s="755"/>
      <c r="AH83" s="1310"/>
      <c r="AI83" s="1276"/>
      <c r="AJ83" s="1272"/>
      <c r="AK83" s="1295"/>
      <c r="AL83" s="837">
        <f>X83*AL4/(AL4+AM4)</f>
        <v>63750</v>
      </c>
      <c r="AM83" s="836">
        <f>X83*AM4/(AL4+AM4)</f>
        <v>11250</v>
      </c>
      <c r="AN83" s="906"/>
      <c r="AO83" s="906"/>
      <c r="AP83" s="477"/>
      <c r="AQ83" s="906"/>
      <c r="AR83" s="909"/>
      <c r="AS83" s="908"/>
      <c r="AT83" s="906"/>
      <c r="AU83" s="906"/>
      <c r="AV83" s="906"/>
      <c r="AW83" s="906"/>
      <c r="AX83" s="906"/>
      <c r="AY83" s="906"/>
      <c r="AZ83" s="906"/>
      <c r="BA83" s="906"/>
      <c r="BB83" s="906"/>
      <c r="BC83" s="906"/>
      <c r="BD83" s="906"/>
      <c r="BE83" s="906"/>
      <c r="BF83" s="909"/>
      <c r="BG83" s="908"/>
      <c r="BH83" s="906"/>
      <c r="BI83" s="903"/>
      <c r="BJ83" s="1433"/>
      <c r="BK83" s="860"/>
      <c r="BL83" s="1317"/>
      <c r="BM83" s="1317"/>
    </row>
    <row r="84" spans="1:66" ht="17.25" customHeight="1" x14ac:dyDescent="0.35">
      <c r="A84" s="818"/>
      <c r="B84" s="933"/>
      <c r="C84" s="934" t="s">
        <v>761</v>
      </c>
      <c r="D84" s="651"/>
      <c r="E84" s="652"/>
      <c r="F84" s="652"/>
      <c r="G84" s="652"/>
      <c r="H84" s="652"/>
      <c r="I84" s="652"/>
      <c r="J84" s="652"/>
      <c r="K84" s="652"/>
      <c r="L84" s="652"/>
      <c r="M84" s="652"/>
      <c r="N84" s="656"/>
      <c r="O84" s="652"/>
      <c r="P84" s="651"/>
      <c r="Q84" s="653"/>
      <c r="R84" s="653"/>
      <c r="S84" s="654"/>
      <c r="T84" s="653"/>
      <c r="U84" s="653"/>
      <c r="V84" s="655"/>
      <c r="W84" s="660"/>
      <c r="X84" s="653"/>
      <c r="Y84" s="656"/>
      <c r="Z84" s="655"/>
      <c r="AA84" s="660"/>
      <c r="AB84" s="653"/>
      <c r="AC84" s="656"/>
      <c r="AD84" s="655"/>
      <c r="AE84" s="660"/>
      <c r="AF84" s="651"/>
      <c r="AG84" s="820"/>
      <c r="AH84" s="821"/>
      <c r="AI84" s="821"/>
      <c r="AJ84" s="935"/>
      <c r="AK84" s="936" t="s">
        <v>761</v>
      </c>
      <c r="AL84" s="937"/>
      <c r="AM84" s="938"/>
      <c r="AN84" s="939"/>
      <c r="AO84" s="938"/>
      <c r="AP84" s="938"/>
      <c r="AQ84" s="938"/>
      <c r="AR84" s="939"/>
      <c r="AS84" s="940"/>
      <c r="AT84" s="938"/>
      <c r="AU84" s="938"/>
      <c r="AV84" s="938"/>
      <c r="AW84" s="938"/>
      <c r="AX84" s="938"/>
      <c r="AY84" s="938"/>
      <c r="AZ84" s="938"/>
      <c r="BA84" s="938"/>
      <c r="BB84" s="938"/>
      <c r="BC84" s="938"/>
      <c r="BD84" s="938"/>
      <c r="BE84" s="938"/>
      <c r="BF84" s="939"/>
      <c r="BG84" s="940"/>
      <c r="BH84" s="651"/>
      <c r="BI84" s="941"/>
      <c r="BJ84" s="821"/>
      <c r="BK84" s="860"/>
      <c r="BL84" s="910"/>
      <c r="BM84" s="807"/>
    </row>
    <row r="85" spans="1:66" ht="125.15" customHeight="1" x14ac:dyDescent="0.35">
      <c r="A85" s="1443">
        <v>30</v>
      </c>
      <c r="B85" s="1358" t="s">
        <v>762</v>
      </c>
      <c r="C85" s="1281" t="s">
        <v>763</v>
      </c>
      <c r="D85" s="1376" t="s">
        <v>764</v>
      </c>
      <c r="E85" s="1377" t="s">
        <v>765</v>
      </c>
      <c r="F85" s="859" t="s">
        <v>766</v>
      </c>
      <c r="G85" s="942"/>
      <c r="H85" s="857"/>
      <c r="I85" s="857"/>
      <c r="J85" s="857"/>
      <c r="K85" s="857"/>
      <c r="L85" s="857"/>
      <c r="M85" s="857"/>
      <c r="N85" s="858"/>
      <c r="O85" s="1281" t="s">
        <v>767</v>
      </c>
      <c r="P85" s="1281" t="s">
        <v>768</v>
      </c>
      <c r="Q85" s="324" t="s">
        <v>769</v>
      </c>
      <c r="R85" s="324" t="s">
        <v>2188</v>
      </c>
      <c r="S85" s="1281"/>
      <c r="T85" s="566"/>
      <c r="U85" s="1268" t="s">
        <v>770</v>
      </c>
      <c r="V85" s="1311"/>
      <c r="W85" s="618"/>
      <c r="X85" s="329"/>
      <c r="Y85" s="1281"/>
      <c r="Z85" s="1311"/>
      <c r="AA85" s="618"/>
      <c r="AB85" s="329"/>
      <c r="AC85" s="1281"/>
      <c r="AD85" s="1311"/>
      <c r="AE85" s="618"/>
      <c r="AF85" s="832"/>
      <c r="AG85" s="812"/>
      <c r="AH85" s="1309">
        <v>30</v>
      </c>
      <c r="AI85" s="1275">
        <v>30</v>
      </c>
      <c r="AJ85" s="1271" t="s">
        <v>762</v>
      </c>
      <c r="AK85" s="1293" t="s">
        <v>763</v>
      </c>
      <c r="AL85" s="734"/>
      <c r="AM85" s="752"/>
      <c r="AN85" s="752"/>
      <c r="AO85" s="752"/>
      <c r="AP85" s="329"/>
      <c r="AQ85" s="752"/>
      <c r="AR85" s="884"/>
      <c r="AS85" s="885"/>
      <c r="AT85" s="886"/>
      <c r="AU85" s="886"/>
      <c r="AV85" s="886"/>
      <c r="AW85" s="886"/>
      <c r="AX85" s="886"/>
      <c r="AY85" s="886"/>
      <c r="AZ85" s="886"/>
      <c r="BA85" s="886"/>
      <c r="BB85" s="886"/>
      <c r="BC85" s="886"/>
      <c r="BD85" s="886"/>
      <c r="BE85" s="886"/>
      <c r="BF85" s="887"/>
      <c r="BG85" s="885"/>
      <c r="BH85" s="886"/>
      <c r="BI85" s="888"/>
      <c r="BJ85" s="1432">
        <v>30</v>
      </c>
      <c r="BK85" s="860"/>
      <c r="BL85" s="1316"/>
      <c r="BM85" s="1316"/>
    </row>
    <row r="86" spans="1:66" ht="125.15" customHeight="1" x14ac:dyDescent="0.35">
      <c r="A86" s="1444"/>
      <c r="B86" s="1359"/>
      <c r="C86" s="1282"/>
      <c r="D86" s="1282"/>
      <c r="E86" s="1378"/>
      <c r="F86" s="1411" t="s">
        <v>765</v>
      </c>
      <c r="G86" s="1412"/>
      <c r="H86" s="1412"/>
      <c r="I86" s="1412"/>
      <c r="J86" s="1412"/>
      <c r="K86" s="1412"/>
      <c r="L86" s="1412"/>
      <c r="M86" s="1412"/>
      <c r="N86" s="1413"/>
      <c r="O86" s="1282"/>
      <c r="P86" s="1282"/>
      <c r="Q86" s="456">
        <v>84000000</v>
      </c>
      <c r="R86" s="456"/>
      <c r="S86" s="1282"/>
      <c r="T86" s="565">
        <v>84000000</v>
      </c>
      <c r="U86" s="1270"/>
      <c r="V86" s="1312"/>
      <c r="W86" s="598"/>
      <c r="X86" s="328"/>
      <c r="Y86" s="1282"/>
      <c r="Z86" s="1312"/>
      <c r="AA86" s="598"/>
      <c r="AB86" s="328"/>
      <c r="AC86" s="1282"/>
      <c r="AD86" s="1312"/>
      <c r="AE86" s="598"/>
      <c r="AF86" s="898"/>
      <c r="AG86" s="812"/>
      <c r="AH86" s="1310"/>
      <c r="AI86" s="1276"/>
      <c r="AJ86" s="1272"/>
      <c r="AK86" s="1295"/>
      <c r="AL86" s="905"/>
      <c r="AM86" s="899"/>
      <c r="AN86" s="899"/>
      <c r="AO86" s="899"/>
      <c r="AP86" s="477"/>
      <c r="AQ86" s="899"/>
      <c r="AR86" s="900"/>
      <c r="AS86" s="901"/>
      <c r="AT86" s="899"/>
      <c r="AU86" s="899"/>
      <c r="AV86" s="899"/>
      <c r="AW86" s="899"/>
      <c r="AX86" s="899"/>
      <c r="AY86" s="899"/>
      <c r="AZ86" s="899"/>
      <c r="BA86" s="899"/>
      <c r="BB86" s="899"/>
      <c r="BC86" s="899"/>
      <c r="BD86" s="899"/>
      <c r="BE86" s="899"/>
      <c r="BF86" s="900"/>
      <c r="BG86" s="902"/>
      <c r="BH86" s="899"/>
      <c r="BI86" s="903"/>
      <c r="BJ86" s="1433"/>
      <c r="BK86" s="860"/>
      <c r="BL86" s="1317"/>
      <c r="BM86" s="1317"/>
    </row>
    <row r="87" spans="1:66" ht="125.15" customHeight="1" x14ac:dyDescent="0.35">
      <c r="A87" s="1443">
        <v>31</v>
      </c>
      <c r="B87" s="1358" t="s">
        <v>771</v>
      </c>
      <c r="C87" s="1281" t="s">
        <v>772</v>
      </c>
      <c r="D87" s="1281" t="s">
        <v>773</v>
      </c>
      <c r="E87" s="1379"/>
      <c r="F87" s="856"/>
      <c r="G87" s="857"/>
      <c r="H87" s="857"/>
      <c r="I87" s="857"/>
      <c r="J87" s="857"/>
      <c r="K87" s="857"/>
      <c r="L87" s="857"/>
      <c r="M87" s="857"/>
      <c r="N87" s="858"/>
      <c r="O87" s="1281" t="s">
        <v>774</v>
      </c>
      <c r="P87" s="1281" t="s">
        <v>775</v>
      </c>
      <c r="Q87" s="324"/>
      <c r="R87" s="324"/>
      <c r="S87" s="1268" t="s">
        <v>776</v>
      </c>
      <c r="T87" s="329"/>
      <c r="U87" s="1268" t="s">
        <v>777</v>
      </c>
      <c r="V87" s="1279" t="s">
        <v>778</v>
      </c>
      <c r="W87" s="638"/>
      <c r="X87" s="569"/>
      <c r="Y87" s="1281" t="s">
        <v>779</v>
      </c>
      <c r="Z87" s="1279" t="s">
        <v>778</v>
      </c>
      <c r="AA87" s="638"/>
      <c r="AB87" s="943"/>
      <c r="AC87" s="1281" t="s">
        <v>780</v>
      </c>
      <c r="AD87" s="1279"/>
      <c r="AE87" s="618"/>
      <c r="AF87" s="832"/>
      <c r="AG87" s="754"/>
      <c r="AH87" s="1309">
        <v>31</v>
      </c>
      <c r="AI87" s="1275">
        <v>31</v>
      </c>
      <c r="AJ87" s="1271" t="s">
        <v>771</v>
      </c>
      <c r="AK87" s="1293" t="s">
        <v>772</v>
      </c>
      <c r="AL87" s="734"/>
      <c r="AM87" s="752"/>
      <c r="AN87" s="752"/>
      <c r="AO87" s="752"/>
      <c r="AP87" s="329"/>
      <c r="AQ87" s="727"/>
      <c r="AR87" s="732"/>
      <c r="AS87" s="834"/>
      <c r="AT87" s="886"/>
      <c r="AU87" s="886"/>
      <c r="AV87" s="886"/>
      <c r="AW87" s="886"/>
      <c r="AX87" s="886"/>
      <c r="AY87" s="886"/>
      <c r="AZ87" s="886"/>
      <c r="BA87" s="886"/>
      <c r="BB87" s="886"/>
      <c r="BC87" s="886"/>
      <c r="BD87" s="886"/>
      <c r="BE87" s="886"/>
      <c r="BF87" s="887"/>
      <c r="BG87" s="885"/>
      <c r="BH87" s="886"/>
      <c r="BI87" s="944"/>
      <c r="BJ87" s="1432">
        <v>31</v>
      </c>
      <c r="BK87" s="860"/>
      <c r="BL87" s="1316"/>
      <c r="BM87" s="1316"/>
    </row>
    <row r="88" spans="1:66" ht="125.15" customHeight="1" thickBot="1" x14ac:dyDescent="0.4">
      <c r="A88" s="1444"/>
      <c r="B88" s="1359"/>
      <c r="C88" s="1282"/>
      <c r="D88" s="1282"/>
      <c r="E88" s="1381"/>
      <c r="F88" s="1313" t="s">
        <v>781</v>
      </c>
      <c r="G88" s="1314"/>
      <c r="H88" s="1314"/>
      <c r="I88" s="1314"/>
      <c r="J88" s="1314"/>
      <c r="K88" s="1314"/>
      <c r="L88" s="1314"/>
      <c r="M88" s="1314"/>
      <c r="N88" s="1315"/>
      <c r="O88" s="1282"/>
      <c r="P88" s="1282"/>
      <c r="Q88" s="456">
        <v>2000000</v>
      </c>
      <c r="R88" s="456">
        <v>2561905</v>
      </c>
      <c r="S88" s="1270"/>
      <c r="T88" s="328"/>
      <c r="U88" s="1270"/>
      <c r="V88" s="1308"/>
      <c r="W88" s="637">
        <f>Q88</f>
        <v>2000000</v>
      </c>
      <c r="X88" s="564">
        <v>1500000</v>
      </c>
      <c r="Y88" s="1282"/>
      <c r="Z88" s="1308"/>
      <c r="AA88" s="637">
        <f>W88-SUM(AL88:BF88)</f>
        <v>500000</v>
      </c>
      <c r="AB88" s="705">
        <v>500000</v>
      </c>
      <c r="AC88" s="1282"/>
      <c r="AD88" s="1308"/>
      <c r="AE88" s="598"/>
      <c r="AF88" s="898"/>
      <c r="AG88" s="755"/>
      <c r="AH88" s="1310"/>
      <c r="AI88" s="1276"/>
      <c r="AJ88" s="1272"/>
      <c r="AK88" s="1295"/>
      <c r="AL88" s="905"/>
      <c r="AM88" s="899"/>
      <c r="AN88" s="899"/>
      <c r="AO88" s="899"/>
      <c r="AP88" s="477"/>
      <c r="AQ88" s="907">
        <f>X88*AQ4/(AQ4+AR4+AS4)</f>
        <v>851351.35135135136</v>
      </c>
      <c r="AR88" s="705">
        <f>X88*AR4/(AQ4+AR4+AS4)</f>
        <v>425675.67567567568</v>
      </c>
      <c r="AS88" s="841">
        <f>X88*AS4/(AQ4+AR4+AS4)</f>
        <v>222972.97297297296</v>
      </c>
      <c r="AT88" s="899"/>
      <c r="AU88" s="899"/>
      <c r="AV88" s="899"/>
      <c r="AW88" s="899"/>
      <c r="AX88" s="899"/>
      <c r="AY88" s="899"/>
      <c r="AZ88" s="899"/>
      <c r="BA88" s="899"/>
      <c r="BB88" s="899"/>
      <c r="BC88" s="899"/>
      <c r="BD88" s="899"/>
      <c r="BE88" s="899"/>
      <c r="BF88" s="900"/>
      <c r="BG88" s="902"/>
      <c r="BH88" s="899"/>
      <c r="BI88" s="945">
        <v>500000</v>
      </c>
      <c r="BJ88" s="1433"/>
      <c r="BK88" s="860"/>
      <c r="BL88" s="1317"/>
      <c r="BM88" s="1317"/>
    </row>
    <row r="89" spans="1:66" ht="175.5" customHeight="1" x14ac:dyDescent="0.35">
      <c r="A89" s="1443">
        <v>32</v>
      </c>
      <c r="B89" s="1362" t="s">
        <v>782</v>
      </c>
      <c r="C89" s="1302" t="s">
        <v>783</v>
      </c>
      <c r="D89" s="1302" t="s">
        <v>784</v>
      </c>
      <c r="E89" s="1375"/>
      <c r="F89" s="946" t="s">
        <v>785</v>
      </c>
      <c r="G89" s="947"/>
      <c r="H89" s="947"/>
      <c r="I89" s="948" t="s">
        <v>786</v>
      </c>
      <c r="J89" s="919"/>
      <c r="K89" s="919"/>
      <c r="L89" s="919"/>
      <c r="M89" s="919"/>
      <c r="N89" s="920"/>
      <c r="O89" s="1302" t="s">
        <v>787</v>
      </c>
      <c r="P89" s="1269" t="s">
        <v>788</v>
      </c>
      <c r="Q89" s="330" t="s">
        <v>789</v>
      </c>
      <c r="R89" s="330" t="s">
        <v>2189</v>
      </c>
      <c r="S89" s="1269" t="s">
        <v>790</v>
      </c>
      <c r="T89" s="949" t="s">
        <v>2221</v>
      </c>
      <c r="U89" s="1269" t="s">
        <v>791</v>
      </c>
      <c r="V89" s="1280" t="s">
        <v>792</v>
      </c>
      <c r="W89" s="661"/>
      <c r="X89" s="563"/>
      <c r="Y89" s="1302" t="s">
        <v>2228</v>
      </c>
      <c r="Z89" s="1280" t="s">
        <v>792</v>
      </c>
      <c r="AA89" s="610"/>
      <c r="AB89" s="331"/>
      <c r="AC89" s="1302"/>
      <c r="AD89" s="1280"/>
      <c r="AE89" s="610"/>
      <c r="AF89" s="892"/>
      <c r="AG89" s="737"/>
      <c r="AH89" s="1309">
        <v>32</v>
      </c>
      <c r="AI89" s="1275">
        <v>32</v>
      </c>
      <c r="AJ89" s="1296" t="s">
        <v>782</v>
      </c>
      <c r="AK89" s="1294" t="s">
        <v>793</v>
      </c>
      <c r="AL89" s="691" t="s">
        <v>794</v>
      </c>
      <c r="AM89" s="563" t="s">
        <v>795</v>
      </c>
      <c r="AN89" s="563" t="s">
        <v>796</v>
      </c>
      <c r="AO89" s="563" t="s">
        <v>796</v>
      </c>
      <c r="AQ89" s="563" t="s">
        <v>798</v>
      </c>
      <c r="AR89" s="698" t="s">
        <v>799</v>
      </c>
      <c r="AS89" s="744" t="s">
        <v>797</v>
      </c>
      <c r="AT89" s="893"/>
      <c r="AU89" s="893"/>
      <c r="AV89" s="893"/>
      <c r="AW89" s="893"/>
      <c r="AX89" s="893"/>
      <c r="AY89" s="893"/>
      <c r="AZ89" s="893"/>
      <c r="BA89" s="893"/>
      <c r="BB89" s="893"/>
      <c r="BC89" s="893"/>
      <c r="BD89" s="893"/>
      <c r="BE89" s="893"/>
      <c r="BF89" s="894"/>
      <c r="BG89" s="896"/>
      <c r="BH89" s="893"/>
      <c r="BI89" s="897"/>
      <c r="BJ89" s="1432">
        <v>32</v>
      </c>
      <c r="BK89" s="860"/>
      <c r="BL89" s="1316"/>
      <c r="BM89" s="1316"/>
    </row>
    <row r="90" spans="1:66" ht="212" customHeight="1" x14ac:dyDescent="0.5">
      <c r="A90" s="1445"/>
      <c r="B90" s="1362"/>
      <c r="C90" s="1302"/>
      <c r="D90" s="1302"/>
      <c r="E90" s="1375"/>
      <c r="F90" s="1355" t="s">
        <v>2269</v>
      </c>
      <c r="G90" s="1356"/>
      <c r="H90" s="1356"/>
      <c r="I90" s="1356"/>
      <c r="J90" s="1356"/>
      <c r="K90" s="1356"/>
      <c r="L90" s="1356"/>
      <c r="M90" s="1356"/>
      <c r="N90" s="1357"/>
      <c r="O90" s="1302"/>
      <c r="P90" s="1269"/>
      <c r="Q90" s="465">
        <f>(8839883.19)+(32658942.03)+(58811957.11)+(18148144.46)+4025000+1500000</f>
        <v>123983926.78999999</v>
      </c>
      <c r="R90" s="465"/>
      <c r="S90" s="1269"/>
      <c r="T90" s="835">
        <f>Q90-1500000</f>
        <v>122483926.78999999</v>
      </c>
      <c r="U90" s="1269"/>
      <c r="V90" s="1280"/>
      <c r="W90" s="662">
        <f>Q90-1500000</f>
        <v>122483926.78999999</v>
      </c>
      <c r="X90" s="664">
        <f>W90</f>
        <v>122483926.78999999</v>
      </c>
      <c r="Y90" s="1302"/>
      <c r="Z90" s="1280"/>
      <c r="AA90" s="950"/>
      <c r="AB90" s="480"/>
      <c r="AC90" s="1302"/>
      <c r="AD90" s="1280"/>
      <c r="AE90" s="610"/>
      <c r="AF90" s="892"/>
      <c r="AG90" s="738" t="s">
        <v>2217</v>
      </c>
      <c r="AH90" s="1442"/>
      <c r="AI90" s="1277"/>
      <c r="AJ90" s="1296"/>
      <c r="AK90" s="1294"/>
      <c r="AL90" s="836"/>
      <c r="AM90" s="836"/>
      <c r="AN90" s="836"/>
      <c r="AO90" s="836"/>
      <c r="AQ90" s="836"/>
      <c r="AR90" s="951"/>
      <c r="AS90" s="952"/>
      <c r="AT90" s="953"/>
      <c r="AU90" s="953"/>
      <c r="AV90" s="953"/>
      <c r="AW90" s="953"/>
      <c r="AX90" s="953"/>
      <c r="AY90" s="953"/>
      <c r="AZ90" s="953"/>
      <c r="BA90" s="953"/>
      <c r="BB90" s="953"/>
      <c r="BC90" s="953"/>
      <c r="BD90" s="953"/>
      <c r="BE90" s="953"/>
      <c r="BF90" s="954"/>
      <c r="BG90" s="896"/>
      <c r="BH90" s="893"/>
      <c r="BI90" s="897"/>
      <c r="BJ90" s="1449"/>
      <c r="BK90" s="860"/>
      <c r="BL90" s="1325"/>
      <c r="BM90" s="1325"/>
    </row>
    <row r="91" spans="1:66" ht="170" customHeight="1" x14ac:dyDescent="0.35">
      <c r="A91" s="1444"/>
      <c r="B91" s="1359"/>
      <c r="C91" s="1282"/>
      <c r="D91" s="1282"/>
      <c r="E91" s="1381"/>
      <c r="F91" s="1313"/>
      <c r="G91" s="1314"/>
      <c r="H91" s="1314"/>
      <c r="I91" s="1314"/>
      <c r="J91" s="1314"/>
      <c r="K91" s="1314"/>
      <c r="L91" s="1314"/>
      <c r="M91" s="1314"/>
      <c r="N91" s="1315"/>
      <c r="O91" s="1282"/>
      <c r="P91" s="1270"/>
      <c r="Q91" s="477"/>
      <c r="R91" s="477"/>
      <c r="S91" s="1270"/>
      <c r="T91" s="478" t="s">
        <v>598</v>
      </c>
      <c r="U91" s="1270"/>
      <c r="V91" s="559" t="s">
        <v>800</v>
      </c>
      <c r="W91" s="628"/>
      <c r="X91" s="478" t="s">
        <v>600</v>
      </c>
      <c r="Y91" s="445" t="s">
        <v>2229</v>
      </c>
      <c r="Z91" s="559" t="s">
        <v>800</v>
      </c>
      <c r="AA91" s="628"/>
      <c r="AB91" s="955"/>
      <c r="AC91" s="445"/>
      <c r="AD91" s="559"/>
      <c r="AE91" s="598"/>
      <c r="AF91" s="898"/>
      <c r="AG91" s="646">
        <f>SUM(AL91:AS91)</f>
        <v>122483926.78999998</v>
      </c>
      <c r="AH91" s="1310"/>
      <c r="AI91" s="1276"/>
      <c r="AJ91" s="1272"/>
      <c r="AK91" s="1295"/>
      <c r="AL91" s="956">
        <f>'Apportionment %'!G57*'Transport 2022'!X90</f>
        <v>61062368.194428146</v>
      </c>
      <c r="AM91" s="957">
        <f>'Apportionment %'!H57*'Transport 2022'!X90</f>
        <v>10775712.034310851</v>
      </c>
      <c r="AN91" s="956">
        <f>'Apportionment %'!D57*'Transport 2022'!X90</f>
        <v>18677900.859472141</v>
      </c>
      <c r="AO91" s="956">
        <f>'Apportionment %'!C57*'Transport 2022'!X90</f>
        <v>5387856.0171554256</v>
      </c>
      <c r="AP91" s="923"/>
      <c r="AQ91" s="956">
        <f>'Apportionment %'!F57*'Transport 2022'!X90</f>
        <v>15085996.84803519</v>
      </c>
      <c r="AR91" s="958">
        <f>'Apportionment %'!E57*'Transport 2022'!X90</f>
        <v>7542998.4240175951</v>
      </c>
      <c r="AS91" s="959">
        <f>'Apportionment %'!P8*'Transport 2022'!X90</f>
        <v>3951094.4125806447</v>
      </c>
      <c r="AT91" s="960"/>
      <c r="AU91" s="923"/>
      <c r="AV91" s="923"/>
      <c r="AW91" s="923"/>
      <c r="AX91" s="923"/>
      <c r="AY91" s="923"/>
      <c r="AZ91" s="923"/>
      <c r="BA91" s="923"/>
      <c r="BB91" s="923"/>
      <c r="BC91" s="923"/>
      <c r="BD91" s="923"/>
      <c r="BE91" s="923"/>
      <c r="BF91" s="490"/>
      <c r="BG91" s="961"/>
      <c r="BH91" s="955"/>
      <c r="BI91" s="903"/>
      <c r="BJ91" s="1433"/>
      <c r="BK91" s="860"/>
      <c r="BL91" s="1317"/>
      <c r="BM91" s="1317"/>
    </row>
    <row r="92" spans="1:66" ht="125.15" customHeight="1" x14ac:dyDescent="0.35">
      <c r="A92" s="1443">
        <v>33</v>
      </c>
      <c r="B92" s="1358" t="s">
        <v>801</v>
      </c>
      <c r="C92" s="1281" t="s">
        <v>802</v>
      </c>
      <c r="D92" s="1281" t="s">
        <v>803</v>
      </c>
      <c r="E92" s="1379"/>
      <c r="F92" s="856"/>
      <c r="G92" s="857"/>
      <c r="H92" s="825" t="s">
        <v>804</v>
      </c>
      <c r="I92" s="857"/>
      <c r="J92" s="857"/>
      <c r="K92" s="857"/>
      <c r="L92" s="825" t="s">
        <v>805</v>
      </c>
      <c r="M92" s="857"/>
      <c r="N92" s="858"/>
      <c r="O92" s="1281" t="s">
        <v>806</v>
      </c>
      <c r="P92" s="1281" t="s">
        <v>807</v>
      </c>
      <c r="Q92" s="324"/>
      <c r="R92" s="324" t="s">
        <v>2187</v>
      </c>
      <c r="S92" s="1268" t="s">
        <v>808</v>
      </c>
      <c r="T92" s="329"/>
      <c r="U92" s="1268"/>
      <c r="V92" s="1279"/>
      <c r="W92" s="638"/>
      <c r="X92" s="569"/>
      <c r="Y92" s="1281" t="s">
        <v>809</v>
      </c>
      <c r="Z92" s="1279"/>
      <c r="AA92" s="618"/>
      <c r="AB92" s="329"/>
      <c r="AC92" s="1281"/>
      <c r="AD92" s="1279"/>
      <c r="AE92" s="618"/>
      <c r="AF92" s="832"/>
      <c r="AG92" s="754"/>
      <c r="AH92" s="1309">
        <v>33</v>
      </c>
      <c r="AI92" s="1275">
        <v>33</v>
      </c>
      <c r="AJ92" s="1271" t="s">
        <v>801</v>
      </c>
      <c r="AK92" s="1293" t="s">
        <v>802</v>
      </c>
      <c r="AL92" s="962" t="s">
        <v>810</v>
      </c>
      <c r="AM92" s="932" t="s">
        <v>811</v>
      </c>
      <c r="AN92" s="963"/>
      <c r="AO92" s="964"/>
      <c r="AP92" s="329"/>
      <c r="AQ92" s="752"/>
      <c r="AR92" s="884"/>
      <c r="AS92" s="896"/>
      <c r="AT92" s="886"/>
      <c r="AU92" s="886"/>
      <c r="AV92" s="886"/>
      <c r="AW92" s="886"/>
      <c r="AX92" s="886"/>
      <c r="AY92" s="886"/>
      <c r="AZ92" s="886"/>
      <c r="BA92" s="886"/>
      <c r="BB92" s="886"/>
      <c r="BC92" s="886"/>
      <c r="BD92" s="886"/>
      <c r="BE92" s="886"/>
      <c r="BF92" s="887"/>
      <c r="BG92" s="885"/>
      <c r="BH92" s="886"/>
      <c r="BI92" s="888"/>
      <c r="BJ92" s="1432">
        <v>33</v>
      </c>
      <c r="BK92" s="860"/>
      <c r="BL92" s="1316"/>
      <c r="BM92" s="1316"/>
    </row>
    <row r="93" spans="1:66" ht="125.15" customHeight="1" thickBot="1" x14ac:dyDescent="0.4">
      <c r="A93" s="1444"/>
      <c r="B93" s="1367"/>
      <c r="C93" s="1301"/>
      <c r="D93" s="1301"/>
      <c r="E93" s="1380"/>
      <c r="F93" s="1364" t="s">
        <v>812</v>
      </c>
      <c r="G93" s="1365"/>
      <c r="H93" s="1365"/>
      <c r="I93" s="1365"/>
      <c r="J93" s="1365"/>
      <c r="K93" s="1365"/>
      <c r="L93" s="1365"/>
      <c r="M93" s="1365"/>
      <c r="N93" s="1366"/>
      <c r="O93" s="1301"/>
      <c r="P93" s="1301"/>
      <c r="Q93" s="614">
        <f>2300000+1000000</f>
        <v>3300000</v>
      </c>
      <c r="R93" s="614"/>
      <c r="S93" s="1278"/>
      <c r="T93" s="603"/>
      <c r="U93" s="1278"/>
      <c r="V93" s="1410"/>
      <c r="W93" s="659">
        <f>Q93</f>
        <v>3300000</v>
      </c>
      <c r="X93" s="642">
        <f>W93</f>
        <v>3300000</v>
      </c>
      <c r="Y93" s="1301"/>
      <c r="Z93" s="1410"/>
      <c r="AA93" s="965"/>
      <c r="AB93" s="619"/>
      <c r="AC93" s="1301"/>
      <c r="AD93" s="1410"/>
      <c r="AE93" s="965"/>
      <c r="AF93" s="966"/>
      <c r="AG93" s="861"/>
      <c r="AH93" s="1310"/>
      <c r="AI93" s="1276"/>
      <c r="AJ93" s="1297"/>
      <c r="AK93" s="1300"/>
      <c r="AL93" s="967">
        <f>X93*AL4/(AL4+AM4)</f>
        <v>2805000</v>
      </c>
      <c r="AM93" s="924">
        <f>X93*AM4/(AL4+AM4)</f>
        <v>495000</v>
      </c>
      <c r="AN93" s="968"/>
      <c r="AO93" s="913"/>
      <c r="AP93" s="619"/>
      <c r="AQ93" s="913"/>
      <c r="AR93" s="914"/>
      <c r="AS93" s="926"/>
      <c r="AT93" s="913"/>
      <c r="AU93" s="913"/>
      <c r="AV93" s="913"/>
      <c r="AW93" s="913"/>
      <c r="AX93" s="913"/>
      <c r="AY93" s="913"/>
      <c r="AZ93" s="913"/>
      <c r="BA93" s="913"/>
      <c r="BB93" s="913"/>
      <c r="BC93" s="913"/>
      <c r="BD93" s="913"/>
      <c r="BE93" s="913"/>
      <c r="BF93" s="914"/>
      <c r="BG93" s="927"/>
      <c r="BH93" s="913"/>
      <c r="BI93" s="917"/>
      <c r="BJ93" s="1433"/>
      <c r="BK93" s="860"/>
      <c r="BL93" s="1317"/>
      <c r="BM93" s="1317"/>
    </row>
    <row r="94" spans="1:66" s="758" customFormat="1" ht="15" customHeight="1" x14ac:dyDescent="0.35">
      <c r="A94" s="862"/>
      <c r="B94" s="863" t="s">
        <v>449</v>
      </c>
      <c r="C94" s="863" t="s">
        <v>450</v>
      </c>
      <c r="D94" s="863" t="s">
        <v>451</v>
      </c>
      <c r="E94" s="863" t="s">
        <v>452</v>
      </c>
      <c r="F94" s="864"/>
      <c r="G94" s="865"/>
      <c r="H94" s="865"/>
      <c r="I94" s="865"/>
      <c r="J94" s="865" t="s">
        <v>453</v>
      </c>
      <c r="K94" s="865"/>
      <c r="L94" s="865"/>
      <c r="M94" s="865"/>
      <c r="N94" s="866"/>
      <c r="O94" s="863" t="s">
        <v>454</v>
      </c>
      <c r="P94" s="863" t="s">
        <v>455</v>
      </c>
      <c r="Q94" s="863" t="s">
        <v>456</v>
      </c>
      <c r="R94" s="863"/>
      <c r="S94" s="863" t="s">
        <v>457</v>
      </c>
      <c r="T94" s="863" t="s">
        <v>458</v>
      </c>
      <c r="U94" s="863" t="s">
        <v>459</v>
      </c>
      <c r="V94" s="863" t="s">
        <v>460</v>
      </c>
      <c r="W94" s="863" t="s">
        <v>461</v>
      </c>
      <c r="X94" s="863" t="s">
        <v>242</v>
      </c>
      <c r="Y94" s="863" t="s">
        <v>462</v>
      </c>
      <c r="Z94" s="863" t="s">
        <v>463</v>
      </c>
      <c r="AA94" s="863" t="s">
        <v>464</v>
      </c>
      <c r="AB94" s="863" t="s">
        <v>465</v>
      </c>
      <c r="AC94" s="863" t="s">
        <v>466</v>
      </c>
      <c r="AD94" s="863" t="s">
        <v>467</v>
      </c>
      <c r="AE94" s="863" t="s">
        <v>468</v>
      </c>
      <c r="AF94" s="863" t="s">
        <v>469</v>
      </c>
      <c r="AG94" s="863" t="s">
        <v>470</v>
      </c>
      <c r="AH94" s="868"/>
      <c r="AI94" s="868"/>
      <c r="AJ94" s="863" t="s">
        <v>449</v>
      </c>
      <c r="AK94" s="863" t="s">
        <v>450</v>
      </c>
      <c r="AL94" s="863" t="s">
        <v>471</v>
      </c>
      <c r="AM94" s="867" t="s">
        <v>472</v>
      </c>
      <c r="AN94" s="863" t="s">
        <v>473</v>
      </c>
      <c r="AO94" s="863" t="s">
        <v>474</v>
      </c>
      <c r="AP94" s="863" t="s">
        <v>475</v>
      </c>
      <c r="AQ94" s="863" t="s">
        <v>476</v>
      </c>
      <c r="AR94" s="863" t="s">
        <v>477</v>
      </c>
      <c r="AS94" s="863" t="s">
        <v>478</v>
      </c>
      <c r="AT94" s="863" t="s">
        <v>479</v>
      </c>
      <c r="AU94" s="863" t="s">
        <v>480</v>
      </c>
      <c r="AV94" s="863" t="s">
        <v>481</v>
      </c>
      <c r="AW94" s="863" t="s">
        <v>482</v>
      </c>
      <c r="AX94" s="863" t="s">
        <v>483</v>
      </c>
      <c r="AY94" s="863" t="s">
        <v>484</v>
      </c>
      <c r="AZ94" s="863" t="s">
        <v>485</v>
      </c>
      <c r="BA94" s="863" t="s">
        <v>486</v>
      </c>
      <c r="BB94" s="863" t="s">
        <v>487</v>
      </c>
      <c r="BC94" s="863" t="s">
        <v>488</v>
      </c>
      <c r="BD94" s="863" t="s">
        <v>489</v>
      </c>
      <c r="BE94" s="863" t="s">
        <v>490</v>
      </c>
      <c r="BF94" s="863" t="s">
        <v>491</v>
      </c>
      <c r="BG94" s="867" t="s">
        <v>492</v>
      </c>
      <c r="BH94" s="863" t="s">
        <v>493</v>
      </c>
      <c r="BI94" s="863" t="s">
        <v>494</v>
      </c>
      <c r="BJ94" s="868"/>
    </row>
    <row r="95" spans="1:66" ht="39.9" customHeight="1" x14ac:dyDescent="0.35">
      <c r="B95" s="1405" t="s">
        <v>448</v>
      </c>
      <c r="C95" s="1406"/>
      <c r="D95" s="1406"/>
      <c r="E95" s="1406"/>
      <c r="F95" s="1406"/>
      <c r="G95" s="1406"/>
      <c r="H95" s="1406"/>
      <c r="I95" s="1406"/>
      <c r="J95" s="1406"/>
      <c r="K95" s="1406"/>
      <c r="L95" s="1406"/>
      <c r="M95" s="1406"/>
      <c r="N95" s="1406"/>
      <c r="O95" s="1406"/>
      <c r="P95" s="1406"/>
      <c r="Q95" s="1406"/>
      <c r="R95" s="1406"/>
      <c r="S95" s="1406"/>
      <c r="T95" s="1406"/>
      <c r="U95" s="1406"/>
      <c r="V95" s="1406"/>
      <c r="W95" s="1406"/>
      <c r="X95" s="1406"/>
      <c r="Y95" s="1406"/>
      <c r="Z95" s="1406"/>
      <c r="AA95" s="1406"/>
      <c r="AB95" s="1406"/>
      <c r="AC95" s="1406"/>
      <c r="AD95" s="1406"/>
      <c r="AE95" s="1406"/>
      <c r="AF95" s="1406"/>
      <c r="AG95" s="1407"/>
      <c r="AJ95" s="1405" t="s">
        <v>448</v>
      </c>
      <c r="AK95" s="1406"/>
      <c r="AL95" s="1406"/>
      <c r="AM95" s="1406"/>
      <c r="AN95" s="1406"/>
      <c r="AO95" s="1406"/>
      <c r="AP95" s="1406"/>
      <c r="AQ95" s="1406"/>
      <c r="AR95" s="1406"/>
      <c r="AS95" s="1406"/>
      <c r="AT95" s="1406"/>
      <c r="AU95" s="1406"/>
      <c r="AV95" s="1406"/>
      <c r="AW95" s="1406"/>
      <c r="AX95" s="1406"/>
      <c r="AY95" s="1406"/>
      <c r="AZ95" s="1406"/>
      <c r="BA95" s="1406"/>
      <c r="BB95" s="1406"/>
      <c r="BC95" s="1406"/>
      <c r="BD95" s="1406"/>
      <c r="BE95" s="1406"/>
      <c r="BF95" s="1406"/>
      <c r="BG95" s="1406"/>
      <c r="BH95" s="1406"/>
      <c r="BI95" s="1407"/>
      <c r="BJ95" s="759"/>
      <c r="BK95" s="760"/>
      <c r="BL95" s="760"/>
      <c r="BM95" s="760"/>
      <c r="BN95" s="760"/>
    </row>
    <row r="96" spans="1:66" s="758" customFormat="1" ht="15" customHeight="1" thickBot="1" x14ac:dyDescent="0.4">
      <c r="B96" s="869" t="s">
        <v>449</v>
      </c>
      <c r="C96" s="869" t="s">
        <v>450</v>
      </c>
      <c r="D96" s="869" t="s">
        <v>451</v>
      </c>
      <c r="E96" s="869" t="s">
        <v>452</v>
      </c>
      <c r="F96" s="870"/>
      <c r="G96" s="871"/>
      <c r="H96" s="871"/>
      <c r="I96" s="871"/>
      <c r="J96" s="871" t="s">
        <v>453</v>
      </c>
      <c r="K96" s="871"/>
      <c r="L96" s="871"/>
      <c r="M96" s="871"/>
      <c r="N96" s="872"/>
      <c r="O96" s="869" t="s">
        <v>454</v>
      </c>
      <c r="P96" s="869" t="s">
        <v>455</v>
      </c>
      <c r="Q96" s="869" t="s">
        <v>456</v>
      </c>
      <c r="R96" s="869"/>
      <c r="S96" s="869" t="s">
        <v>457</v>
      </c>
      <c r="T96" s="869" t="s">
        <v>458</v>
      </c>
      <c r="U96" s="869" t="s">
        <v>459</v>
      </c>
      <c r="V96" s="869" t="s">
        <v>460</v>
      </c>
      <c r="W96" s="869" t="s">
        <v>461</v>
      </c>
      <c r="X96" s="869" t="s">
        <v>242</v>
      </c>
      <c r="Y96" s="869" t="s">
        <v>462</v>
      </c>
      <c r="Z96" s="869" t="s">
        <v>463</v>
      </c>
      <c r="AA96" s="869" t="s">
        <v>464</v>
      </c>
      <c r="AB96" s="869" t="s">
        <v>465</v>
      </c>
      <c r="AC96" s="869" t="s">
        <v>466</v>
      </c>
      <c r="AD96" s="869" t="s">
        <v>467</v>
      </c>
      <c r="AE96" s="869" t="s">
        <v>468</v>
      </c>
      <c r="AF96" s="869" t="s">
        <v>469</v>
      </c>
      <c r="AG96" s="869" t="s">
        <v>470</v>
      </c>
      <c r="AJ96" s="869" t="s">
        <v>449</v>
      </c>
      <c r="AK96" s="869" t="s">
        <v>450</v>
      </c>
      <c r="AL96" s="869" t="s">
        <v>471</v>
      </c>
      <c r="AM96" s="873" t="s">
        <v>472</v>
      </c>
      <c r="AN96" s="869" t="s">
        <v>473</v>
      </c>
      <c r="AO96" s="869" t="s">
        <v>474</v>
      </c>
      <c r="AP96" s="869" t="s">
        <v>475</v>
      </c>
      <c r="AQ96" s="869" t="s">
        <v>476</v>
      </c>
      <c r="AR96" s="869" t="s">
        <v>477</v>
      </c>
      <c r="AS96" s="869" t="s">
        <v>478</v>
      </c>
      <c r="AT96" s="869" t="s">
        <v>479</v>
      </c>
      <c r="AU96" s="869" t="s">
        <v>480</v>
      </c>
      <c r="AV96" s="869" t="s">
        <v>481</v>
      </c>
      <c r="AW96" s="869" t="s">
        <v>482</v>
      </c>
      <c r="AX96" s="869" t="s">
        <v>483</v>
      </c>
      <c r="AY96" s="869" t="s">
        <v>484</v>
      </c>
      <c r="AZ96" s="869" t="s">
        <v>485</v>
      </c>
      <c r="BA96" s="869" t="s">
        <v>486</v>
      </c>
      <c r="BB96" s="869" t="s">
        <v>487</v>
      </c>
      <c r="BC96" s="869" t="s">
        <v>488</v>
      </c>
      <c r="BD96" s="869" t="s">
        <v>489</v>
      </c>
      <c r="BE96" s="869" t="s">
        <v>490</v>
      </c>
      <c r="BF96" s="869" t="s">
        <v>491</v>
      </c>
      <c r="BG96" s="873" t="s">
        <v>492</v>
      </c>
      <c r="BH96" s="869" t="s">
        <v>493</v>
      </c>
      <c r="BI96" s="869" t="s">
        <v>494</v>
      </c>
    </row>
    <row r="97" spans="1:65" ht="99.9" customHeight="1" thickTop="1" x14ac:dyDescent="0.35">
      <c r="B97" s="1408" t="s">
        <v>2231</v>
      </c>
      <c r="C97" s="874"/>
      <c r="D97" s="1285" t="s">
        <v>495</v>
      </c>
      <c r="E97" s="1402" t="s">
        <v>496</v>
      </c>
      <c r="F97" s="1403" t="s">
        <v>219</v>
      </c>
      <c r="G97" s="1403"/>
      <c r="H97" s="1403"/>
      <c r="I97" s="1403"/>
      <c r="J97" s="1403"/>
      <c r="K97" s="1403"/>
      <c r="L97" s="1403"/>
      <c r="M97" s="1403"/>
      <c r="N97" s="1403"/>
      <c r="O97" s="1285" t="s">
        <v>214</v>
      </c>
      <c r="P97" s="1404" t="s">
        <v>497</v>
      </c>
      <c r="Q97" s="1285" t="s">
        <v>498</v>
      </c>
      <c r="R97" s="1321" t="s">
        <v>2190</v>
      </c>
      <c r="S97" s="1318" t="s">
        <v>499</v>
      </c>
      <c r="T97" s="1319" t="s">
        <v>2</v>
      </c>
      <c r="U97" s="1318" t="s">
        <v>500</v>
      </c>
      <c r="V97" s="1287" t="s">
        <v>501</v>
      </c>
      <c r="W97" s="1289" t="s">
        <v>502</v>
      </c>
      <c r="X97" s="1283" t="s">
        <v>503</v>
      </c>
      <c r="Y97" s="1285" t="s">
        <v>504</v>
      </c>
      <c r="Z97" s="1287" t="s">
        <v>505</v>
      </c>
      <c r="AA97" s="1289" t="s">
        <v>506</v>
      </c>
      <c r="AB97" s="1283" t="s">
        <v>507</v>
      </c>
      <c r="AC97" s="1285" t="s">
        <v>504</v>
      </c>
      <c r="AD97" s="1287" t="s">
        <v>505</v>
      </c>
      <c r="AE97" s="1289" t="s">
        <v>508</v>
      </c>
      <c r="AF97" s="1285" t="s">
        <v>509</v>
      </c>
      <c r="AG97" s="1273" t="s">
        <v>510</v>
      </c>
      <c r="AJ97" s="1298" t="s">
        <v>2231</v>
      </c>
      <c r="AK97" s="875"/>
      <c r="AL97" s="876" t="s">
        <v>2234</v>
      </c>
      <c r="AM97" s="877" t="s">
        <v>2235</v>
      </c>
      <c r="AN97" s="877" t="s">
        <v>2236</v>
      </c>
      <c r="AO97" s="877" t="s">
        <v>2237</v>
      </c>
      <c r="AP97" s="877" t="s">
        <v>2238</v>
      </c>
      <c r="AQ97" s="877" t="s">
        <v>2239</v>
      </c>
      <c r="AR97" s="878" t="s">
        <v>2240</v>
      </c>
      <c r="AS97" s="879" t="s">
        <v>2241</v>
      </c>
      <c r="AT97" s="877" t="s">
        <v>2242</v>
      </c>
      <c r="AU97" s="877" t="s">
        <v>2243</v>
      </c>
      <c r="AV97" s="877" t="s">
        <v>2244</v>
      </c>
      <c r="AW97" s="877" t="s">
        <v>2245</v>
      </c>
      <c r="AX97" s="877" t="s">
        <v>2246</v>
      </c>
      <c r="AY97" s="877" t="s">
        <v>2247</v>
      </c>
      <c r="AZ97" s="877" t="s">
        <v>2248</v>
      </c>
      <c r="BA97" s="877" t="s">
        <v>2249</v>
      </c>
      <c r="BB97" s="877" t="s">
        <v>2250</v>
      </c>
      <c r="BC97" s="877" t="s">
        <v>2251</v>
      </c>
      <c r="BD97" s="877" t="s">
        <v>2252</v>
      </c>
      <c r="BE97" s="877" t="s">
        <v>2253</v>
      </c>
      <c r="BF97" s="878" t="s">
        <v>2254</v>
      </c>
      <c r="BG97" s="879" t="s">
        <v>2255</v>
      </c>
      <c r="BH97" s="1436" t="s">
        <v>41</v>
      </c>
      <c r="BI97" s="1437" t="s">
        <v>42</v>
      </c>
      <c r="BJ97" s="776"/>
      <c r="BK97" s="777"/>
      <c r="BL97" s="778"/>
      <c r="BM97" s="778"/>
    </row>
    <row r="98" spans="1:65" s="793" customFormat="1" ht="50.15" customHeight="1" x14ac:dyDescent="0.35">
      <c r="A98" s="969"/>
      <c r="B98" s="1393"/>
      <c r="C98" s="780" t="s">
        <v>511</v>
      </c>
      <c r="D98" s="1286"/>
      <c r="E98" s="1395"/>
      <c r="F98" s="333" t="s">
        <v>512</v>
      </c>
      <c r="G98" s="333" t="s">
        <v>513</v>
      </c>
      <c r="H98" s="333" t="s">
        <v>514</v>
      </c>
      <c r="I98" s="333" t="s">
        <v>515</v>
      </c>
      <c r="J98" s="333" t="s">
        <v>516</v>
      </c>
      <c r="K98" s="333" t="s">
        <v>517</v>
      </c>
      <c r="L98" s="333" t="s">
        <v>518</v>
      </c>
      <c r="M98" s="333" t="s">
        <v>519</v>
      </c>
      <c r="N98" s="333" t="s">
        <v>520</v>
      </c>
      <c r="O98" s="1397"/>
      <c r="P98" s="1401"/>
      <c r="Q98" s="1286"/>
      <c r="R98" s="1322"/>
      <c r="S98" s="1241"/>
      <c r="T98" s="1320"/>
      <c r="U98" s="1241"/>
      <c r="V98" s="1288"/>
      <c r="W98" s="1290"/>
      <c r="X98" s="1284"/>
      <c r="Y98" s="1286"/>
      <c r="Z98" s="1288"/>
      <c r="AA98" s="1290"/>
      <c r="AB98" s="1284"/>
      <c r="AC98" s="1286"/>
      <c r="AD98" s="1288"/>
      <c r="AE98" s="1290"/>
      <c r="AF98" s="1286"/>
      <c r="AG98" s="1274"/>
      <c r="AH98" s="880"/>
      <c r="AI98" s="880"/>
      <c r="AJ98" s="1299"/>
      <c r="AK98" s="783" t="s">
        <v>511</v>
      </c>
      <c r="AL98" s="784">
        <v>8500</v>
      </c>
      <c r="AM98" s="785">
        <v>1500</v>
      </c>
      <c r="AN98" s="785">
        <v>2600</v>
      </c>
      <c r="AO98" s="786">
        <v>750</v>
      </c>
      <c r="AP98" s="786" t="s">
        <v>48</v>
      </c>
      <c r="AQ98" s="785">
        <v>2100</v>
      </c>
      <c r="AR98" s="787">
        <v>1050</v>
      </c>
      <c r="AS98" s="788">
        <v>550</v>
      </c>
      <c r="AT98" s="786">
        <v>70</v>
      </c>
      <c r="AU98" s="786">
        <v>30</v>
      </c>
      <c r="AV98" s="786">
        <v>35</v>
      </c>
      <c r="AW98" s="786">
        <v>35</v>
      </c>
      <c r="AX98" s="786">
        <v>20</v>
      </c>
      <c r="AY98" s="786">
        <v>16</v>
      </c>
      <c r="AZ98" s="786">
        <v>15</v>
      </c>
      <c r="BA98" s="786">
        <v>13</v>
      </c>
      <c r="BB98" s="786">
        <v>10</v>
      </c>
      <c r="BC98" s="786">
        <v>10</v>
      </c>
      <c r="BD98" s="786">
        <v>10</v>
      </c>
      <c r="BE98" s="786">
        <v>10</v>
      </c>
      <c r="BF98" s="789">
        <v>10</v>
      </c>
      <c r="BG98" s="790">
        <v>2120</v>
      </c>
      <c r="BH98" s="1399"/>
      <c r="BI98" s="1383"/>
      <c r="BJ98" s="776"/>
      <c r="BK98" s="791"/>
      <c r="BL98" s="792"/>
      <c r="BM98" s="792"/>
    </row>
    <row r="99" spans="1:65" ht="17.25" customHeight="1" x14ac:dyDescent="0.35">
      <c r="A99" s="818"/>
      <c r="B99" s="933"/>
      <c r="C99" s="934" t="s">
        <v>2270</v>
      </c>
      <c r="D99" s="651"/>
      <c r="E99" s="652"/>
      <c r="F99" s="652"/>
      <c r="G99" s="652"/>
      <c r="H99" s="652"/>
      <c r="I99" s="652"/>
      <c r="J99" s="652"/>
      <c r="K99" s="652"/>
      <c r="L99" s="652"/>
      <c r="M99" s="652"/>
      <c r="N99" s="656"/>
      <c r="O99" s="652"/>
      <c r="P99" s="651"/>
      <c r="Q99" s="653"/>
      <c r="R99" s="653"/>
      <c r="S99" s="654"/>
      <c r="T99" s="653"/>
      <c r="U99" s="653"/>
      <c r="V99" s="655"/>
      <c r="W99" s="660"/>
      <c r="X99" s="653"/>
      <c r="Y99" s="656"/>
      <c r="Z99" s="655"/>
      <c r="AA99" s="660"/>
      <c r="AB99" s="653"/>
      <c r="AC99" s="656"/>
      <c r="AD99" s="655"/>
      <c r="AE99" s="660"/>
      <c r="AF99" s="651"/>
      <c r="AG99" s="820"/>
      <c r="AH99" s="881"/>
      <c r="AI99" s="881"/>
      <c r="AJ99" s="935"/>
      <c r="AK99" s="936" t="s">
        <v>2271</v>
      </c>
      <c r="AL99" s="937"/>
      <c r="AM99" s="938"/>
      <c r="AN99" s="939"/>
      <c r="AO99" s="938"/>
      <c r="AP99" s="938"/>
      <c r="AQ99" s="938"/>
      <c r="AR99" s="939"/>
      <c r="AS99" s="940"/>
      <c r="AT99" s="938"/>
      <c r="AU99" s="938"/>
      <c r="AV99" s="938"/>
      <c r="AW99" s="938"/>
      <c r="AX99" s="938"/>
      <c r="AY99" s="938"/>
      <c r="AZ99" s="938"/>
      <c r="BA99" s="938"/>
      <c r="BB99" s="938"/>
      <c r="BC99" s="938"/>
      <c r="BD99" s="938"/>
      <c r="BE99" s="938"/>
      <c r="BF99" s="939"/>
      <c r="BG99" s="940"/>
      <c r="BH99" s="651"/>
      <c r="BI99" s="941"/>
      <c r="BJ99" s="881"/>
      <c r="BK99" s="860"/>
      <c r="BL99" s="910"/>
      <c r="BM99" s="807"/>
    </row>
    <row r="100" spans="1:65" ht="125.15" customHeight="1" x14ac:dyDescent="0.35">
      <c r="A100" s="1443">
        <v>34</v>
      </c>
      <c r="B100" s="1358" t="s">
        <v>813</v>
      </c>
      <c r="C100" s="1281" t="s">
        <v>2272</v>
      </c>
      <c r="D100" s="1281" t="s">
        <v>773</v>
      </c>
      <c r="E100" s="1360"/>
      <c r="F100" s="859" t="s">
        <v>814</v>
      </c>
      <c r="G100" s="857"/>
      <c r="H100" s="857"/>
      <c r="I100" s="857"/>
      <c r="J100" s="857"/>
      <c r="K100" s="857"/>
      <c r="L100" s="857"/>
      <c r="M100" s="857"/>
      <c r="N100" s="858"/>
      <c r="O100" s="1281" t="s">
        <v>559</v>
      </c>
      <c r="P100" s="1281" t="s">
        <v>815</v>
      </c>
      <c r="Q100" s="324"/>
      <c r="R100" s="970" t="s">
        <v>2191</v>
      </c>
      <c r="S100" s="1268" t="s">
        <v>2273</v>
      </c>
      <c r="T100" s="566" t="s">
        <v>2218</v>
      </c>
      <c r="U100" s="1268"/>
      <c r="V100" s="1279" t="s">
        <v>2176</v>
      </c>
      <c r="W100" s="638"/>
      <c r="X100" s="569"/>
      <c r="Y100" s="1281" t="s">
        <v>2274</v>
      </c>
      <c r="Z100" s="1279" t="s">
        <v>816</v>
      </c>
      <c r="AA100" s="632"/>
      <c r="AB100" s="727" t="s">
        <v>817</v>
      </c>
      <c r="AC100" s="1281"/>
      <c r="AD100" s="1279"/>
      <c r="AE100" s="632"/>
      <c r="AF100" s="832" t="s">
        <v>818</v>
      </c>
      <c r="AG100" s="812"/>
      <c r="AH100" s="1309">
        <v>34</v>
      </c>
      <c r="AI100" s="1275">
        <v>34</v>
      </c>
      <c r="AJ100" s="1271" t="s">
        <v>813</v>
      </c>
      <c r="AK100" s="1293" t="s">
        <v>819</v>
      </c>
      <c r="AL100" s="833" t="s">
        <v>820</v>
      </c>
      <c r="AM100" s="727" t="s">
        <v>821</v>
      </c>
      <c r="AN100" s="735" t="s">
        <v>822</v>
      </c>
      <c r="AO100" s="727" t="s">
        <v>822</v>
      </c>
      <c r="AP100" s="734"/>
      <c r="AQ100" s="732" t="s">
        <v>823</v>
      </c>
      <c r="AR100" s="733" t="s">
        <v>822</v>
      </c>
      <c r="AS100" s="834" t="s">
        <v>822</v>
      </c>
      <c r="AT100" s="886"/>
      <c r="AU100" s="886"/>
      <c r="AV100" s="886"/>
      <c r="AW100" s="886"/>
      <c r="AX100" s="886"/>
      <c r="AY100" s="886"/>
      <c r="AZ100" s="886"/>
      <c r="BA100" s="886"/>
      <c r="BB100" s="886"/>
      <c r="BC100" s="886"/>
      <c r="BD100" s="886"/>
      <c r="BE100" s="886"/>
      <c r="BF100" s="887"/>
      <c r="BG100" s="834" t="s">
        <v>824</v>
      </c>
      <c r="BH100" s="727" t="s">
        <v>817</v>
      </c>
      <c r="BI100" s="888"/>
      <c r="BJ100" s="1432">
        <v>34</v>
      </c>
      <c r="BK100" s="860"/>
      <c r="BL100" s="1316"/>
      <c r="BM100" s="1323"/>
    </row>
    <row r="101" spans="1:65" ht="251.25" customHeight="1" x14ac:dyDescent="0.35">
      <c r="A101" s="1444"/>
      <c r="B101" s="1359"/>
      <c r="C101" s="1282"/>
      <c r="D101" s="1282"/>
      <c r="E101" s="1361"/>
      <c r="F101" s="1313" t="s">
        <v>2275</v>
      </c>
      <c r="G101" s="1314"/>
      <c r="H101" s="1314"/>
      <c r="I101" s="1314"/>
      <c r="J101" s="1314"/>
      <c r="K101" s="1314"/>
      <c r="L101" s="1314"/>
      <c r="M101" s="1314"/>
      <c r="N101" s="1315"/>
      <c r="O101" s="1282"/>
      <c r="P101" s="1282"/>
      <c r="Q101" s="456">
        <f>70000+11000000+12800000+13400000+17800000+11100000</f>
        <v>66170000</v>
      </c>
      <c r="R101" s="456">
        <v>66170000</v>
      </c>
      <c r="S101" s="1270"/>
      <c r="T101" s="565">
        <v>5539491</v>
      </c>
      <c r="U101" s="1270"/>
      <c r="V101" s="1308"/>
      <c r="W101" s="637">
        <f>Q101-T101</f>
        <v>60630509</v>
      </c>
      <c r="X101" s="564">
        <f>SUM(AL101:BF101)</f>
        <v>14508329</v>
      </c>
      <c r="Y101" s="1282"/>
      <c r="Z101" s="1308"/>
      <c r="AA101" s="633">
        <f>W101-X101</f>
        <v>46122180</v>
      </c>
      <c r="AB101" s="906"/>
      <c r="AC101" s="1282"/>
      <c r="AD101" s="1308"/>
      <c r="AE101" s="633">
        <f>AA101-(SUM(BG101:BI101))</f>
        <v>46122180</v>
      </c>
      <c r="AF101" s="898"/>
      <c r="AG101" s="755"/>
      <c r="AH101" s="1310"/>
      <c r="AI101" s="1276"/>
      <c r="AJ101" s="1272"/>
      <c r="AK101" s="1295"/>
      <c r="AL101" s="731">
        <f>5539491*AL4/(AL4+AM4)</f>
        <v>4708567.3499999996</v>
      </c>
      <c r="AM101" s="907">
        <f>5539491*AM4/(AL4+AM4)</f>
        <v>830923.65</v>
      </c>
      <c r="AN101" s="971"/>
      <c r="AO101" s="906"/>
      <c r="AP101" s="749"/>
      <c r="AQ101" s="705">
        <f>8968838</f>
        <v>8968838</v>
      </c>
      <c r="AR101" s="972"/>
      <c r="AS101" s="908"/>
      <c r="AT101" s="923"/>
      <c r="AU101" s="923"/>
      <c r="AV101" s="923"/>
      <c r="AW101" s="899"/>
      <c r="AX101" s="899"/>
      <c r="AY101" s="899"/>
      <c r="AZ101" s="899"/>
      <c r="BA101" s="899"/>
      <c r="BB101" s="899"/>
      <c r="BC101" s="899"/>
      <c r="BD101" s="899"/>
      <c r="BE101" s="899"/>
      <c r="BF101" s="900"/>
      <c r="BG101" s="908"/>
      <c r="BH101" s="906"/>
      <c r="BI101" s="903"/>
      <c r="BJ101" s="1433"/>
      <c r="BK101" s="860"/>
      <c r="BL101" s="1317"/>
      <c r="BM101" s="1324"/>
    </row>
    <row r="102" spans="1:65" ht="125.15" customHeight="1" x14ac:dyDescent="0.35">
      <c r="A102" s="1443">
        <v>35</v>
      </c>
      <c r="B102" s="1362" t="s">
        <v>270</v>
      </c>
      <c r="C102" s="1302" t="s">
        <v>825</v>
      </c>
      <c r="D102" s="1302" t="s">
        <v>826</v>
      </c>
      <c r="E102" s="1372" t="s">
        <v>827</v>
      </c>
      <c r="F102" s="918"/>
      <c r="G102" s="948" t="s">
        <v>828</v>
      </c>
      <c r="H102" s="948" t="s">
        <v>829</v>
      </c>
      <c r="I102" s="919"/>
      <c r="J102" s="919"/>
      <c r="K102" s="919"/>
      <c r="L102" s="919"/>
      <c r="M102" s="919"/>
      <c r="N102" s="920"/>
      <c r="O102" s="1302" t="s">
        <v>830</v>
      </c>
      <c r="P102" s="1302" t="s">
        <v>831</v>
      </c>
      <c r="Q102" s="330" t="s">
        <v>832</v>
      </c>
      <c r="R102" s="330"/>
      <c r="S102" s="1269" t="s">
        <v>833</v>
      </c>
      <c r="T102" s="331"/>
      <c r="U102" s="1269"/>
      <c r="V102" s="1334"/>
      <c r="W102" s="610"/>
      <c r="X102" s="563" t="s">
        <v>832</v>
      </c>
      <c r="Y102" s="1302" t="s">
        <v>834</v>
      </c>
      <c r="Z102" s="1334"/>
      <c r="AA102" s="610"/>
      <c r="AB102" s="331"/>
      <c r="AC102" s="1302"/>
      <c r="AD102" s="1334"/>
      <c r="AE102" s="610"/>
      <c r="AF102" s="892"/>
      <c r="AG102" s="812"/>
      <c r="AH102" s="1309">
        <v>35</v>
      </c>
      <c r="AI102" s="1275">
        <v>35</v>
      </c>
      <c r="AJ102" s="1296" t="s">
        <v>270</v>
      </c>
      <c r="AK102" s="1294" t="s">
        <v>825</v>
      </c>
      <c r="AL102" s="691" t="s">
        <v>835</v>
      </c>
      <c r="AM102" s="563" t="s">
        <v>836</v>
      </c>
      <c r="AN102" s="552"/>
      <c r="AO102" s="552"/>
      <c r="AP102" s="331"/>
      <c r="AQ102" s="552"/>
      <c r="AR102" s="890"/>
      <c r="AS102" s="896"/>
      <c r="AT102" s="893"/>
      <c r="AU102" s="893"/>
      <c r="AV102" s="893"/>
      <c r="AW102" s="893"/>
      <c r="AX102" s="893"/>
      <c r="AY102" s="893"/>
      <c r="AZ102" s="893"/>
      <c r="BA102" s="893"/>
      <c r="BB102" s="893"/>
      <c r="BC102" s="893"/>
      <c r="BD102" s="893"/>
      <c r="BE102" s="893"/>
      <c r="BF102" s="894"/>
      <c r="BG102" s="896"/>
      <c r="BH102" s="893"/>
      <c r="BI102" s="897"/>
      <c r="BJ102" s="1432">
        <v>35</v>
      </c>
      <c r="BK102" s="860"/>
      <c r="BL102" s="1316"/>
      <c r="BM102" s="1316"/>
    </row>
    <row r="103" spans="1:65" ht="125.15" customHeight="1" x14ac:dyDescent="0.35">
      <c r="A103" s="1444"/>
      <c r="B103" s="1359"/>
      <c r="C103" s="1282"/>
      <c r="D103" s="1282"/>
      <c r="E103" s="1373"/>
      <c r="F103" s="1313" t="s">
        <v>837</v>
      </c>
      <c r="G103" s="1314"/>
      <c r="H103" s="1314"/>
      <c r="I103" s="1314"/>
      <c r="J103" s="1314"/>
      <c r="K103" s="1314"/>
      <c r="L103" s="1314"/>
      <c r="M103" s="1314"/>
      <c r="N103" s="1315"/>
      <c r="O103" s="1282"/>
      <c r="P103" s="1282"/>
      <c r="Q103" s="323"/>
      <c r="R103" s="323"/>
      <c r="S103" s="1270"/>
      <c r="T103" s="328"/>
      <c r="U103" s="1270"/>
      <c r="V103" s="1312"/>
      <c r="W103" s="598"/>
      <c r="X103" s="663"/>
      <c r="Y103" s="1282"/>
      <c r="Z103" s="1312"/>
      <c r="AA103" s="598"/>
      <c r="AB103" s="328"/>
      <c r="AC103" s="1282"/>
      <c r="AD103" s="1312"/>
      <c r="AE103" s="598"/>
      <c r="AF103" s="898"/>
      <c r="AG103" s="755"/>
      <c r="AH103" s="1310"/>
      <c r="AI103" s="1276"/>
      <c r="AJ103" s="1272"/>
      <c r="AK103" s="1295"/>
      <c r="AL103" s="699"/>
      <c r="AM103" s="663"/>
      <c r="AN103" s="899"/>
      <c r="AO103" s="899"/>
      <c r="AP103" s="477"/>
      <c r="AQ103" s="899"/>
      <c r="AR103" s="900"/>
      <c r="AS103" s="901"/>
      <c r="AT103" s="899"/>
      <c r="AU103" s="899"/>
      <c r="AV103" s="899"/>
      <c r="AW103" s="899"/>
      <c r="AX103" s="899"/>
      <c r="AY103" s="899"/>
      <c r="AZ103" s="899"/>
      <c r="BA103" s="899"/>
      <c r="BB103" s="899"/>
      <c r="BC103" s="899"/>
      <c r="BD103" s="899"/>
      <c r="BE103" s="899"/>
      <c r="BF103" s="900"/>
      <c r="BG103" s="902"/>
      <c r="BH103" s="899"/>
      <c r="BI103" s="903"/>
      <c r="BJ103" s="1433"/>
      <c r="BK103" s="860"/>
      <c r="BL103" s="1317"/>
      <c r="BM103" s="1317"/>
    </row>
    <row r="104" spans="1:65" ht="125.15" customHeight="1" x14ac:dyDescent="0.35">
      <c r="A104" s="1443">
        <v>36</v>
      </c>
      <c r="B104" s="1358" t="s">
        <v>278</v>
      </c>
      <c r="C104" s="1281" t="s">
        <v>838</v>
      </c>
      <c r="D104" s="1281" t="s">
        <v>839</v>
      </c>
      <c r="E104" s="1374" t="s">
        <v>827</v>
      </c>
      <c r="F104" s="856"/>
      <c r="G104" s="825" t="s">
        <v>840</v>
      </c>
      <c r="H104" s="857"/>
      <c r="I104" s="825" t="s">
        <v>841</v>
      </c>
      <c r="J104" s="857"/>
      <c r="K104" s="857"/>
      <c r="L104" s="857"/>
      <c r="M104" s="857"/>
      <c r="N104" s="858"/>
      <c r="O104" s="1281" t="s">
        <v>605</v>
      </c>
      <c r="P104" s="1281" t="s">
        <v>831</v>
      </c>
      <c r="Q104" s="324" t="s">
        <v>832</v>
      </c>
      <c r="R104" s="324"/>
      <c r="S104" s="1268" t="s">
        <v>833</v>
      </c>
      <c r="T104" s="329"/>
      <c r="U104" s="1268"/>
      <c r="V104" s="1311"/>
      <c r="W104" s="618"/>
      <c r="X104" s="569" t="s">
        <v>832</v>
      </c>
      <c r="Y104" s="1281" t="s">
        <v>834</v>
      </c>
      <c r="Z104" s="1311"/>
      <c r="AA104" s="618"/>
      <c r="AB104" s="329"/>
      <c r="AC104" s="1281"/>
      <c r="AD104" s="1311"/>
      <c r="AE104" s="618"/>
      <c r="AF104" s="832"/>
      <c r="AG104" s="812"/>
      <c r="AH104" s="1309">
        <v>36</v>
      </c>
      <c r="AI104" s="1275">
        <v>36</v>
      </c>
      <c r="AJ104" s="1271" t="s">
        <v>278</v>
      </c>
      <c r="AK104" s="1293" t="s">
        <v>838</v>
      </c>
      <c r="AL104" s="734"/>
      <c r="AM104" s="752"/>
      <c r="AN104" s="569" t="s">
        <v>832</v>
      </c>
      <c r="AO104" s="569" t="s">
        <v>832</v>
      </c>
      <c r="AP104" s="569" t="s">
        <v>832</v>
      </c>
      <c r="AQ104" s="752"/>
      <c r="AR104" s="884"/>
      <c r="AS104" s="885"/>
      <c r="AT104" s="886"/>
      <c r="AU104" s="886"/>
      <c r="AV104" s="886"/>
      <c r="AW104" s="886"/>
      <c r="AX104" s="886"/>
      <c r="AY104" s="886"/>
      <c r="AZ104" s="886"/>
      <c r="BA104" s="886"/>
      <c r="BB104" s="886"/>
      <c r="BC104" s="886"/>
      <c r="BD104" s="886"/>
      <c r="BE104" s="886"/>
      <c r="BF104" s="887"/>
      <c r="BG104" s="885"/>
      <c r="BH104" s="886"/>
      <c r="BI104" s="888"/>
      <c r="BJ104" s="1432">
        <v>36</v>
      </c>
      <c r="BK104" s="860"/>
      <c r="BL104" s="1316"/>
      <c r="BM104" s="1316"/>
    </row>
    <row r="105" spans="1:65" ht="125.15" customHeight="1" x14ac:dyDescent="0.35">
      <c r="A105" s="1444"/>
      <c r="B105" s="1359"/>
      <c r="C105" s="1282"/>
      <c r="D105" s="1282"/>
      <c r="E105" s="1373"/>
      <c r="F105" s="1313" t="s">
        <v>842</v>
      </c>
      <c r="G105" s="1314"/>
      <c r="H105" s="1314"/>
      <c r="I105" s="1314"/>
      <c r="J105" s="1314"/>
      <c r="K105" s="1314"/>
      <c r="L105" s="1314"/>
      <c r="M105" s="1314"/>
      <c r="N105" s="1315"/>
      <c r="O105" s="1282"/>
      <c r="P105" s="1282"/>
      <c r="Q105" s="323"/>
      <c r="R105" s="323"/>
      <c r="S105" s="1270"/>
      <c r="T105" s="328"/>
      <c r="U105" s="1270"/>
      <c r="V105" s="1312"/>
      <c r="W105" s="598"/>
      <c r="X105" s="663"/>
      <c r="Y105" s="1282"/>
      <c r="Z105" s="1312"/>
      <c r="AA105" s="598"/>
      <c r="AB105" s="328"/>
      <c r="AC105" s="1282"/>
      <c r="AD105" s="1312"/>
      <c r="AE105" s="598"/>
      <c r="AF105" s="898"/>
      <c r="AG105" s="812"/>
      <c r="AH105" s="1310"/>
      <c r="AI105" s="1276"/>
      <c r="AJ105" s="1272"/>
      <c r="AK105" s="1295"/>
      <c r="AL105" s="905"/>
      <c r="AM105" s="899"/>
      <c r="AN105" s="663"/>
      <c r="AO105" s="663"/>
      <c r="AP105" s="663"/>
      <c r="AQ105" s="899"/>
      <c r="AR105" s="900"/>
      <c r="AS105" s="901"/>
      <c r="AT105" s="899"/>
      <c r="AU105" s="899"/>
      <c r="AV105" s="899"/>
      <c r="AW105" s="899"/>
      <c r="AX105" s="899"/>
      <c r="AY105" s="899"/>
      <c r="AZ105" s="899"/>
      <c r="BA105" s="899"/>
      <c r="BB105" s="899"/>
      <c r="BC105" s="899"/>
      <c r="BD105" s="899"/>
      <c r="BE105" s="899"/>
      <c r="BF105" s="900"/>
      <c r="BG105" s="902"/>
      <c r="BH105" s="899"/>
      <c r="BI105" s="903"/>
      <c r="BJ105" s="1433"/>
      <c r="BK105" s="860"/>
      <c r="BL105" s="1317"/>
      <c r="BM105" s="1317"/>
    </row>
    <row r="106" spans="1:65" ht="125.15" customHeight="1" x14ac:dyDescent="0.35">
      <c r="A106" s="1443">
        <v>37</v>
      </c>
      <c r="B106" s="1358" t="s">
        <v>286</v>
      </c>
      <c r="C106" s="1281" t="s">
        <v>843</v>
      </c>
      <c r="D106" s="1281" t="s">
        <v>844</v>
      </c>
      <c r="E106" s="1374" t="s">
        <v>827</v>
      </c>
      <c r="F106" s="825" t="s">
        <v>840</v>
      </c>
      <c r="G106" s="857"/>
      <c r="H106" s="857"/>
      <c r="I106" s="857"/>
      <c r="J106" s="857"/>
      <c r="K106" s="857"/>
      <c r="L106" s="857"/>
      <c r="M106" s="857"/>
      <c r="N106" s="858"/>
      <c r="O106" s="1281" t="s">
        <v>616</v>
      </c>
      <c r="P106" s="1281" t="s">
        <v>831</v>
      </c>
      <c r="Q106" s="324" t="s">
        <v>832</v>
      </c>
      <c r="R106" s="324"/>
      <c r="S106" s="1268" t="s">
        <v>833</v>
      </c>
      <c r="T106" s="329"/>
      <c r="U106" s="1268"/>
      <c r="V106" s="1311"/>
      <c r="W106" s="618"/>
      <c r="X106" s="569" t="s">
        <v>832</v>
      </c>
      <c r="Y106" s="1281" t="s">
        <v>834</v>
      </c>
      <c r="Z106" s="1311"/>
      <c r="AA106" s="618"/>
      <c r="AB106" s="329"/>
      <c r="AC106" s="1281"/>
      <c r="AD106" s="1311"/>
      <c r="AE106" s="618"/>
      <c r="AF106" s="832"/>
      <c r="AG106" s="754"/>
      <c r="AH106" s="1309">
        <v>37</v>
      </c>
      <c r="AI106" s="1275">
        <v>37</v>
      </c>
      <c r="AJ106" s="1271" t="s">
        <v>286</v>
      </c>
      <c r="AK106" s="1293" t="s">
        <v>843</v>
      </c>
      <c r="AL106" s="734"/>
      <c r="AM106" s="752"/>
      <c r="AN106" s="752"/>
      <c r="AO106" s="752"/>
      <c r="AP106" s="329"/>
      <c r="AQ106" s="569" t="s">
        <v>832</v>
      </c>
      <c r="AR106" s="884"/>
      <c r="AS106" s="885"/>
      <c r="AT106" s="886"/>
      <c r="AU106" s="886"/>
      <c r="AV106" s="886"/>
      <c r="AW106" s="886"/>
      <c r="AX106" s="886"/>
      <c r="AY106" s="886"/>
      <c r="AZ106" s="886"/>
      <c r="BA106" s="886"/>
      <c r="BB106" s="886"/>
      <c r="BC106" s="886"/>
      <c r="BD106" s="886"/>
      <c r="BE106" s="886"/>
      <c r="BF106" s="887"/>
      <c r="BG106" s="885"/>
      <c r="BH106" s="886"/>
      <c r="BI106" s="888"/>
      <c r="BJ106" s="1432">
        <v>37</v>
      </c>
      <c r="BK106" s="860"/>
      <c r="BL106" s="1316"/>
      <c r="BM106" s="1316"/>
    </row>
    <row r="107" spans="1:65" ht="125.15" customHeight="1" x14ac:dyDescent="0.35">
      <c r="A107" s="1444"/>
      <c r="B107" s="1359"/>
      <c r="C107" s="1282"/>
      <c r="D107" s="1282"/>
      <c r="E107" s="1373"/>
      <c r="F107" s="1313" t="s">
        <v>845</v>
      </c>
      <c r="G107" s="1314"/>
      <c r="H107" s="1314"/>
      <c r="I107" s="1314"/>
      <c r="J107" s="1314"/>
      <c r="K107" s="1314"/>
      <c r="L107" s="1314"/>
      <c r="M107" s="1314"/>
      <c r="N107" s="1315"/>
      <c r="O107" s="1282"/>
      <c r="P107" s="1282"/>
      <c r="Q107" s="323"/>
      <c r="R107" s="323"/>
      <c r="S107" s="1270"/>
      <c r="T107" s="328"/>
      <c r="U107" s="1270"/>
      <c r="V107" s="1312"/>
      <c r="W107" s="598"/>
      <c r="X107" s="663"/>
      <c r="Y107" s="1282"/>
      <c r="Z107" s="1312"/>
      <c r="AA107" s="598"/>
      <c r="AB107" s="328"/>
      <c r="AC107" s="1282"/>
      <c r="AD107" s="1312"/>
      <c r="AE107" s="598"/>
      <c r="AF107" s="898"/>
      <c r="AG107" s="755"/>
      <c r="AH107" s="1310"/>
      <c r="AI107" s="1276"/>
      <c r="AJ107" s="1272"/>
      <c r="AK107" s="1295"/>
      <c r="AL107" s="905"/>
      <c r="AM107" s="899"/>
      <c r="AN107" s="899"/>
      <c r="AO107" s="899"/>
      <c r="AP107" s="477"/>
      <c r="AQ107" s="663"/>
      <c r="AR107" s="900"/>
      <c r="AS107" s="901"/>
      <c r="AT107" s="899"/>
      <c r="AU107" s="899"/>
      <c r="AV107" s="899"/>
      <c r="AW107" s="899"/>
      <c r="AX107" s="899"/>
      <c r="AY107" s="899"/>
      <c r="AZ107" s="899"/>
      <c r="BA107" s="899"/>
      <c r="BB107" s="899"/>
      <c r="BC107" s="899"/>
      <c r="BD107" s="899"/>
      <c r="BE107" s="899"/>
      <c r="BF107" s="900"/>
      <c r="BG107" s="902"/>
      <c r="BH107" s="899"/>
      <c r="BI107" s="903"/>
      <c r="BJ107" s="1433"/>
      <c r="BK107" s="860"/>
      <c r="BL107" s="1317"/>
      <c r="BM107" s="1317"/>
    </row>
    <row r="108" spans="1:65" ht="125.15" customHeight="1" x14ac:dyDescent="0.35">
      <c r="A108" s="1443">
        <v>38</v>
      </c>
      <c r="B108" s="1358" t="s">
        <v>294</v>
      </c>
      <c r="C108" s="1281" t="s">
        <v>846</v>
      </c>
      <c r="D108" s="1281" t="s">
        <v>847</v>
      </c>
      <c r="E108" s="1374" t="s">
        <v>827</v>
      </c>
      <c r="F108" s="825" t="s">
        <v>840</v>
      </c>
      <c r="G108" s="857"/>
      <c r="H108" s="857"/>
      <c r="I108" s="857"/>
      <c r="J108" s="857"/>
      <c r="K108" s="857"/>
      <c r="L108" s="857"/>
      <c r="M108" s="857"/>
      <c r="N108" s="858"/>
      <c r="O108" s="1281" t="s">
        <v>624</v>
      </c>
      <c r="P108" s="1281" t="s">
        <v>831</v>
      </c>
      <c r="Q108" s="324" t="s">
        <v>832</v>
      </c>
      <c r="R108" s="324"/>
      <c r="S108" s="1268" t="s">
        <v>833</v>
      </c>
      <c r="T108" s="329"/>
      <c r="U108" s="1268"/>
      <c r="V108" s="1311"/>
      <c r="W108" s="618"/>
      <c r="X108" s="569" t="s">
        <v>832</v>
      </c>
      <c r="Y108" s="1281" t="s">
        <v>834</v>
      </c>
      <c r="Z108" s="1311"/>
      <c r="AA108" s="618"/>
      <c r="AB108" s="329"/>
      <c r="AC108" s="1281"/>
      <c r="AD108" s="1311"/>
      <c r="AE108" s="618"/>
      <c r="AF108" s="832"/>
      <c r="AG108" s="812"/>
      <c r="AH108" s="1309">
        <v>38</v>
      </c>
      <c r="AI108" s="1275">
        <v>38</v>
      </c>
      <c r="AJ108" s="1271" t="s">
        <v>294</v>
      </c>
      <c r="AK108" s="1293" t="s">
        <v>846</v>
      </c>
      <c r="AL108" s="734"/>
      <c r="AM108" s="752"/>
      <c r="AN108" s="752"/>
      <c r="AO108" s="752"/>
      <c r="AP108" s="329"/>
      <c r="AQ108" s="752"/>
      <c r="AR108" s="643" t="s">
        <v>832</v>
      </c>
      <c r="AS108" s="885"/>
      <c r="AT108" s="886"/>
      <c r="AU108" s="886"/>
      <c r="AV108" s="886"/>
      <c r="AW108" s="886"/>
      <c r="AX108" s="886"/>
      <c r="AY108" s="886"/>
      <c r="AZ108" s="886"/>
      <c r="BA108" s="886"/>
      <c r="BB108" s="886"/>
      <c r="BC108" s="886"/>
      <c r="BD108" s="886"/>
      <c r="BE108" s="886"/>
      <c r="BF108" s="887"/>
      <c r="BG108" s="885"/>
      <c r="BH108" s="886"/>
      <c r="BI108" s="888"/>
      <c r="BJ108" s="1432">
        <v>38</v>
      </c>
      <c r="BK108" s="860"/>
      <c r="BL108" s="1316"/>
      <c r="BM108" s="1316"/>
    </row>
    <row r="109" spans="1:65" ht="125.15" customHeight="1" x14ac:dyDescent="0.35">
      <c r="A109" s="1444"/>
      <c r="B109" s="1359"/>
      <c r="C109" s="1282"/>
      <c r="D109" s="1282"/>
      <c r="E109" s="1373"/>
      <c r="F109" s="1313" t="s">
        <v>845</v>
      </c>
      <c r="G109" s="1314"/>
      <c r="H109" s="1314"/>
      <c r="I109" s="1314"/>
      <c r="J109" s="1314"/>
      <c r="K109" s="1314"/>
      <c r="L109" s="1314"/>
      <c r="M109" s="1314"/>
      <c r="N109" s="1315"/>
      <c r="O109" s="1282"/>
      <c r="P109" s="1282"/>
      <c r="Q109" s="323"/>
      <c r="R109" s="323"/>
      <c r="S109" s="1270"/>
      <c r="T109" s="328"/>
      <c r="U109" s="1270"/>
      <c r="V109" s="1312"/>
      <c r="W109" s="598"/>
      <c r="X109" s="663"/>
      <c r="Y109" s="1282"/>
      <c r="Z109" s="1312"/>
      <c r="AA109" s="598"/>
      <c r="AB109" s="328"/>
      <c r="AC109" s="1282"/>
      <c r="AD109" s="1312"/>
      <c r="AE109" s="598"/>
      <c r="AF109" s="898"/>
      <c r="AG109" s="755"/>
      <c r="AH109" s="1310"/>
      <c r="AI109" s="1276"/>
      <c r="AJ109" s="1296"/>
      <c r="AK109" s="1294"/>
      <c r="AL109" s="973"/>
      <c r="AM109" s="893"/>
      <c r="AN109" s="893"/>
      <c r="AO109" s="893"/>
      <c r="AP109" s="480"/>
      <c r="AQ109" s="893"/>
      <c r="AR109" s="698"/>
      <c r="AS109" s="895"/>
      <c r="AT109" s="893"/>
      <c r="AU109" s="893"/>
      <c r="AV109" s="893"/>
      <c r="AW109" s="893"/>
      <c r="AX109" s="893"/>
      <c r="AY109" s="893"/>
      <c r="AZ109" s="893"/>
      <c r="BA109" s="893"/>
      <c r="BB109" s="893"/>
      <c r="BC109" s="893"/>
      <c r="BD109" s="893"/>
      <c r="BE109" s="893"/>
      <c r="BF109" s="894"/>
      <c r="BG109" s="896"/>
      <c r="BH109" s="893"/>
      <c r="BI109" s="897"/>
      <c r="BJ109" s="1433"/>
      <c r="BK109" s="860"/>
      <c r="BL109" s="1317"/>
      <c r="BM109" s="1317"/>
    </row>
    <row r="110" spans="1:65" ht="125.15" customHeight="1" x14ac:dyDescent="0.35">
      <c r="A110" s="1443">
        <v>39</v>
      </c>
      <c r="B110" s="1362" t="s">
        <v>848</v>
      </c>
      <c r="C110" s="1302" t="s">
        <v>849</v>
      </c>
      <c r="D110" s="1302" t="s">
        <v>850</v>
      </c>
      <c r="E110" s="1375"/>
      <c r="F110" s="918"/>
      <c r="G110" s="919"/>
      <c r="H110" s="919"/>
      <c r="I110" s="919"/>
      <c r="J110" s="919"/>
      <c r="K110" s="919"/>
      <c r="L110" s="919"/>
      <c r="M110" s="919"/>
      <c r="N110" s="920"/>
      <c r="O110" s="1302" t="s">
        <v>851</v>
      </c>
      <c r="P110" s="1302" t="s">
        <v>852</v>
      </c>
      <c r="Q110" s="330" t="s">
        <v>853</v>
      </c>
      <c r="R110" s="330"/>
      <c r="S110" s="1269" t="s">
        <v>833</v>
      </c>
      <c r="T110" s="331"/>
      <c r="U110" s="1269"/>
      <c r="V110" s="1334"/>
      <c r="W110" s="610"/>
      <c r="X110" s="563" t="s">
        <v>853</v>
      </c>
      <c r="Y110" s="1302" t="s">
        <v>854</v>
      </c>
      <c r="Z110" s="1334"/>
      <c r="AA110" s="610"/>
      <c r="AB110" s="569" t="s">
        <v>853</v>
      </c>
      <c r="AC110" s="1302"/>
      <c r="AD110" s="1334"/>
      <c r="AE110" s="610"/>
      <c r="AF110" s="892"/>
      <c r="AG110" s="812"/>
      <c r="AH110" s="1309">
        <v>39</v>
      </c>
      <c r="AI110" s="1275">
        <v>39</v>
      </c>
      <c r="AJ110" s="1271" t="s">
        <v>848</v>
      </c>
      <c r="AK110" s="1293" t="s">
        <v>849</v>
      </c>
      <c r="AL110" s="600" t="s">
        <v>853</v>
      </c>
      <c r="AM110" s="569" t="s">
        <v>853</v>
      </c>
      <c r="AN110" s="569" t="s">
        <v>853</v>
      </c>
      <c r="AO110" s="569" t="s">
        <v>853</v>
      </c>
      <c r="AP110" s="569" t="s">
        <v>853</v>
      </c>
      <c r="AQ110" s="569" t="s">
        <v>853</v>
      </c>
      <c r="AR110" s="643" t="s">
        <v>853</v>
      </c>
      <c r="AS110" s="589" t="s">
        <v>853</v>
      </c>
      <c r="AT110" s="569" t="s">
        <v>853</v>
      </c>
      <c r="AU110" s="569" t="s">
        <v>853</v>
      </c>
      <c r="AV110" s="569" t="s">
        <v>853</v>
      </c>
      <c r="AW110" s="569" t="s">
        <v>853</v>
      </c>
      <c r="AX110" s="569" t="s">
        <v>853</v>
      </c>
      <c r="AY110" s="569" t="s">
        <v>853</v>
      </c>
      <c r="AZ110" s="569" t="s">
        <v>853</v>
      </c>
      <c r="BA110" s="569" t="s">
        <v>853</v>
      </c>
      <c r="BB110" s="569" t="s">
        <v>853</v>
      </c>
      <c r="BC110" s="569" t="s">
        <v>853</v>
      </c>
      <c r="BD110" s="569" t="s">
        <v>853</v>
      </c>
      <c r="BE110" s="569" t="s">
        <v>853</v>
      </c>
      <c r="BF110" s="643" t="s">
        <v>853</v>
      </c>
      <c r="BG110" s="589" t="s">
        <v>853</v>
      </c>
      <c r="BH110" s="569" t="s">
        <v>853</v>
      </c>
      <c r="BI110" s="888"/>
      <c r="BJ110" s="1432">
        <v>39</v>
      </c>
      <c r="BK110" s="860"/>
      <c r="BL110" s="1316"/>
      <c r="BM110" s="1316"/>
    </row>
    <row r="111" spans="1:65" ht="125.15" customHeight="1" thickBot="1" x14ac:dyDescent="0.4">
      <c r="A111" s="1444"/>
      <c r="B111" s="1362"/>
      <c r="C111" s="1302"/>
      <c r="D111" s="1302"/>
      <c r="E111" s="1375"/>
      <c r="F111" s="1355" t="s">
        <v>855</v>
      </c>
      <c r="G111" s="1356"/>
      <c r="H111" s="1356"/>
      <c r="I111" s="1356"/>
      <c r="J111" s="1356"/>
      <c r="K111" s="1356"/>
      <c r="L111" s="1356"/>
      <c r="M111" s="1356"/>
      <c r="N111" s="1357"/>
      <c r="O111" s="1302"/>
      <c r="P111" s="1302"/>
      <c r="Q111" s="330"/>
      <c r="R111" s="330"/>
      <c r="S111" s="1269"/>
      <c r="T111" s="331"/>
      <c r="U111" s="1269"/>
      <c r="V111" s="1334"/>
      <c r="W111" s="610"/>
      <c r="X111" s="563"/>
      <c r="Y111" s="1302"/>
      <c r="Z111" s="1334"/>
      <c r="AA111" s="610"/>
      <c r="AB111" s="563"/>
      <c r="AC111" s="1302"/>
      <c r="AD111" s="1334"/>
      <c r="AE111" s="610"/>
      <c r="AF111" s="892"/>
      <c r="AG111" s="812"/>
      <c r="AH111" s="1310"/>
      <c r="AI111" s="1276"/>
      <c r="AJ111" s="1331"/>
      <c r="AK111" s="1303"/>
      <c r="AL111" s="700"/>
      <c r="AM111" s="701"/>
      <c r="AN111" s="701"/>
      <c r="AO111" s="701"/>
      <c r="AP111" s="701"/>
      <c r="AQ111" s="701"/>
      <c r="AR111" s="702"/>
      <c r="AS111" s="703"/>
      <c r="AT111" s="701"/>
      <c r="AU111" s="701"/>
      <c r="AV111" s="701"/>
      <c r="AW111" s="701"/>
      <c r="AX111" s="701"/>
      <c r="AY111" s="701"/>
      <c r="AZ111" s="701"/>
      <c r="BA111" s="701"/>
      <c r="BB111" s="701"/>
      <c r="BC111" s="701"/>
      <c r="BD111" s="701"/>
      <c r="BE111" s="701"/>
      <c r="BF111" s="702"/>
      <c r="BG111" s="703"/>
      <c r="BH111" s="701"/>
      <c r="BI111" s="974"/>
      <c r="BJ111" s="1433"/>
      <c r="BK111" s="860"/>
      <c r="BL111" s="1317"/>
      <c r="BM111" s="1317"/>
    </row>
    <row r="112" spans="1:65" ht="99.9" customHeight="1" thickTop="1" x14ac:dyDescent="0.35">
      <c r="A112" s="975"/>
      <c r="B112" s="1368"/>
      <c r="C112" s="1370" t="s">
        <v>511</v>
      </c>
      <c r="D112" s="1347"/>
      <c r="E112" s="1347"/>
      <c r="F112" s="1347"/>
      <c r="G112" s="1347"/>
      <c r="H112" s="1347"/>
      <c r="I112" s="1347"/>
      <c r="J112" s="1347"/>
      <c r="K112" s="1347"/>
      <c r="L112" s="1347"/>
      <c r="M112" s="1347"/>
      <c r="N112" s="1347"/>
      <c r="O112" s="1347"/>
      <c r="P112" s="1347"/>
      <c r="Q112" s="1349" t="s">
        <v>1</v>
      </c>
      <c r="R112" s="1446" t="s">
        <v>2194</v>
      </c>
      <c r="S112" s="1337"/>
      <c r="T112" s="1351" t="s">
        <v>2</v>
      </c>
      <c r="U112" s="1337"/>
      <c r="V112" s="1337"/>
      <c r="W112" s="1353" t="s">
        <v>856</v>
      </c>
      <c r="X112" s="1291" t="s">
        <v>503</v>
      </c>
      <c r="Y112" s="1329"/>
      <c r="Z112" s="1337"/>
      <c r="AA112" s="1341" t="s">
        <v>506</v>
      </c>
      <c r="AB112" s="1291" t="s">
        <v>507</v>
      </c>
      <c r="AC112" s="1335"/>
      <c r="AD112" s="1337"/>
      <c r="AE112" s="1341" t="s">
        <v>508</v>
      </c>
      <c r="AF112" s="1335"/>
      <c r="AG112" s="1339" t="s">
        <v>510</v>
      </c>
      <c r="AH112" s="813"/>
      <c r="AI112" s="814"/>
      <c r="AJ112" s="1332"/>
      <c r="AK112" s="1304" t="s">
        <v>511</v>
      </c>
      <c r="AL112" s="976" t="s">
        <v>2234</v>
      </c>
      <c r="AM112" s="977" t="s">
        <v>2235</v>
      </c>
      <c r="AN112" s="977" t="s">
        <v>2236</v>
      </c>
      <c r="AO112" s="977" t="s">
        <v>2237</v>
      </c>
      <c r="AP112" s="977" t="s">
        <v>2238</v>
      </c>
      <c r="AQ112" s="977" t="s">
        <v>2239</v>
      </c>
      <c r="AR112" s="978" t="s">
        <v>2240</v>
      </c>
      <c r="AS112" s="979" t="s">
        <v>2241</v>
      </c>
      <c r="AT112" s="977" t="s">
        <v>2242</v>
      </c>
      <c r="AU112" s="977" t="s">
        <v>2243</v>
      </c>
      <c r="AV112" s="977" t="s">
        <v>2244</v>
      </c>
      <c r="AW112" s="977" t="s">
        <v>2245</v>
      </c>
      <c r="AX112" s="977" t="s">
        <v>2246</v>
      </c>
      <c r="AY112" s="977" t="s">
        <v>2247</v>
      </c>
      <c r="AZ112" s="977" t="s">
        <v>2248</v>
      </c>
      <c r="BA112" s="977" t="s">
        <v>2249</v>
      </c>
      <c r="BB112" s="977" t="s">
        <v>2250</v>
      </c>
      <c r="BC112" s="977" t="s">
        <v>2251</v>
      </c>
      <c r="BD112" s="977" t="s">
        <v>2252</v>
      </c>
      <c r="BE112" s="977" t="s">
        <v>2253</v>
      </c>
      <c r="BF112" s="978" t="s">
        <v>2254</v>
      </c>
      <c r="BG112" s="979" t="s">
        <v>2255</v>
      </c>
      <c r="BH112" s="1343" t="s">
        <v>41</v>
      </c>
      <c r="BI112" s="1345" t="s">
        <v>42</v>
      </c>
      <c r="BJ112" s="980"/>
      <c r="BK112" s="860"/>
      <c r="BL112" s="1328"/>
      <c r="BM112" s="1328"/>
    </row>
    <row r="113" spans="1:65" s="793" customFormat="1" ht="50.15" customHeight="1" x14ac:dyDescent="0.35">
      <c r="A113" s="928"/>
      <c r="B113" s="1369"/>
      <c r="C113" s="1371"/>
      <c r="D113" s="1348"/>
      <c r="E113" s="1348"/>
      <c r="F113" s="454"/>
      <c r="G113" s="454"/>
      <c r="H113" s="454"/>
      <c r="I113" s="454"/>
      <c r="J113" s="454"/>
      <c r="K113" s="454"/>
      <c r="L113" s="454"/>
      <c r="M113" s="454"/>
      <c r="N113" s="454"/>
      <c r="O113" s="1348"/>
      <c r="P113" s="1348"/>
      <c r="Q113" s="1350"/>
      <c r="R113" s="1447"/>
      <c r="S113" s="1338"/>
      <c r="T113" s="1352"/>
      <c r="U113" s="1338"/>
      <c r="V113" s="1338"/>
      <c r="W113" s="1354"/>
      <c r="X113" s="1292"/>
      <c r="Y113" s="1330"/>
      <c r="Z113" s="1338"/>
      <c r="AA113" s="1342"/>
      <c r="AB113" s="1292"/>
      <c r="AC113" s="1336"/>
      <c r="AD113" s="1338"/>
      <c r="AE113" s="1342"/>
      <c r="AF113" s="1336"/>
      <c r="AG113" s="1340"/>
      <c r="AH113" s="781"/>
      <c r="AI113" s="782"/>
      <c r="AJ113" s="1333"/>
      <c r="AK113" s="1305"/>
      <c r="AL113" s="981">
        <v>8500</v>
      </c>
      <c r="AM113" s="982">
        <v>1500</v>
      </c>
      <c r="AN113" s="982">
        <v>2600</v>
      </c>
      <c r="AO113" s="983">
        <v>750</v>
      </c>
      <c r="AP113" s="983" t="s">
        <v>48</v>
      </c>
      <c r="AQ113" s="982">
        <v>2100</v>
      </c>
      <c r="AR113" s="984">
        <v>1050</v>
      </c>
      <c r="AS113" s="985">
        <v>550</v>
      </c>
      <c r="AT113" s="983">
        <v>70</v>
      </c>
      <c r="AU113" s="983">
        <v>30</v>
      </c>
      <c r="AV113" s="983">
        <v>35</v>
      </c>
      <c r="AW113" s="983">
        <v>35</v>
      </c>
      <c r="AX113" s="983">
        <v>20</v>
      </c>
      <c r="AY113" s="983">
        <v>16</v>
      </c>
      <c r="AZ113" s="983">
        <v>15</v>
      </c>
      <c r="BA113" s="983">
        <v>13</v>
      </c>
      <c r="BB113" s="983">
        <v>10</v>
      </c>
      <c r="BC113" s="983">
        <v>10</v>
      </c>
      <c r="BD113" s="983">
        <v>10</v>
      </c>
      <c r="BE113" s="983">
        <v>10</v>
      </c>
      <c r="BF113" s="986">
        <v>10</v>
      </c>
      <c r="BG113" s="987">
        <v>2120</v>
      </c>
      <c r="BH113" s="1344"/>
      <c r="BI113" s="1346"/>
      <c r="BJ113" s="776"/>
      <c r="BK113" s="860"/>
      <c r="BL113" s="1327"/>
      <c r="BM113" s="1327"/>
    </row>
    <row r="114" spans="1:65" ht="17.25" customHeight="1" thickBot="1" x14ac:dyDescent="0.4">
      <c r="B114" s="988"/>
      <c r="C114" s="573"/>
      <c r="D114" s="573"/>
      <c r="E114" s="989" t="s">
        <v>857</v>
      </c>
      <c r="F114" s="574"/>
      <c r="G114" s="574"/>
      <c r="H114" s="574"/>
      <c r="I114" s="574"/>
      <c r="J114" s="574"/>
      <c r="K114" s="574"/>
      <c r="L114" s="574"/>
      <c r="M114" s="574"/>
      <c r="N114" s="578"/>
      <c r="O114" s="574"/>
      <c r="P114" s="573"/>
      <c r="Q114" s="590"/>
      <c r="R114" s="595"/>
      <c r="S114" s="592"/>
      <c r="T114" s="590"/>
      <c r="U114" s="579"/>
      <c r="V114" s="576"/>
      <c r="W114" s="596"/>
      <c r="X114" s="640"/>
      <c r="Y114" s="631"/>
      <c r="Z114" s="576"/>
      <c r="AA114" s="596"/>
      <c r="AB114" s="640"/>
      <c r="AC114" s="620"/>
      <c r="AD114" s="576"/>
      <c r="AE114" s="596"/>
      <c r="AF114" s="990"/>
      <c r="AG114" s="647"/>
      <c r="AH114" s="798"/>
      <c r="AI114" s="770"/>
      <c r="AJ114" s="991"/>
      <c r="AK114" s="992" t="s">
        <v>857</v>
      </c>
      <c r="AL114" s="993"/>
      <c r="AM114" s="994"/>
      <c r="AN114" s="994"/>
      <c r="AO114" s="994"/>
      <c r="AP114" s="994"/>
      <c r="AQ114" s="994"/>
      <c r="AR114" s="995"/>
      <c r="AS114" s="996"/>
      <c r="AT114" s="994"/>
      <c r="AU114" s="994"/>
      <c r="AV114" s="994"/>
      <c r="AW114" s="994"/>
      <c r="AX114" s="994"/>
      <c r="AY114" s="994"/>
      <c r="AZ114" s="994"/>
      <c r="BA114" s="994"/>
      <c r="BB114" s="994"/>
      <c r="BC114" s="994"/>
      <c r="BD114" s="994"/>
      <c r="BE114" s="994"/>
      <c r="BF114" s="995"/>
      <c r="BG114" s="996"/>
      <c r="BH114" s="997"/>
      <c r="BI114" s="998"/>
      <c r="BJ114" s="999"/>
      <c r="BK114" s="860"/>
      <c r="BL114" s="807"/>
      <c r="BM114" s="807"/>
    </row>
    <row r="115" spans="1:65" s="1012" customFormat="1" ht="19" thickTop="1" x14ac:dyDescent="0.35">
      <c r="A115" s="818">
        <v>40</v>
      </c>
      <c r="B115" s="1000"/>
      <c r="C115" s="1000"/>
      <c r="D115" s="1000"/>
      <c r="E115" s="1001" t="s">
        <v>858</v>
      </c>
      <c r="F115" s="1002"/>
      <c r="G115" s="1002"/>
      <c r="H115" s="1002"/>
      <c r="I115" s="1002"/>
      <c r="J115" s="1002"/>
      <c r="K115" s="1002"/>
      <c r="L115" s="1002"/>
      <c r="M115" s="1002"/>
      <c r="N115" s="1002"/>
      <c r="O115" s="1003"/>
      <c r="P115" s="1002"/>
      <c r="Q115" s="1004">
        <f>Q7+Q10+Q12+Q14+Q16+Q18+Q20+Q22+Q24+Q32+Q35+Q37+Q39+Q42+Q44+Q47+Q55+Q57+Q59+Q61+Q63+Q65+Q67+Q69+Q77+Q79+Q81+Q83+Q86+Q88+Q90+Q93+Q101+Q103+Q105+Q107+Q109+Q111</f>
        <v>584834046.26199996</v>
      </c>
      <c r="R115" s="1004">
        <f>R10+Q12+R14+R16+R18+R20+R22+Q32+R35+R42+Q44+R47+R55+R57+R59+R61+Q63+R65+R67+R69+R77+Q81+Q83+Q86+R88+Q90+Q93+R101</f>
        <v>613136789.78999996</v>
      </c>
      <c r="S115" s="1005"/>
      <c r="T115" s="1006"/>
      <c r="U115" s="1005"/>
      <c r="V115" s="1005"/>
      <c r="W115" s="1265">
        <f>W7+W10+W32+W35+W37+W39+W42+W44+W47+W55+W57+W59+W61+W63+W65+W67+W69+W77+W79+W81+W83+W86+W88+W90+W93+W101+W103+W105+W107+W109+W111</f>
        <v>382004555.26199996</v>
      </c>
      <c r="X115" s="1007"/>
      <c r="Y115" s="1008"/>
      <c r="Z115" s="1005"/>
      <c r="AA115" s="1009"/>
      <c r="AB115" s="1007"/>
      <c r="AC115" s="1010"/>
      <c r="AD115" s="1005"/>
      <c r="AE115" s="1009"/>
      <c r="AF115" s="1011"/>
      <c r="AG115" s="1009"/>
      <c r="AH115" s="821">
        <v>40</v>
      </c>
      <c r="AI115" s="758"/>
      <c r="AJ115" s="1011"/>
      <c r="AK115" s="1011"/>
      <c r="AL115" s="1006"/>
      <c r="AM115" s="1007"/>
      <c r="AN115" s="1007"/>
      <c r="AO115" s="1007"/>
      <c r="AP115" s="1007"/>
      <c r="AQ115" s="1007"/>
      <c r="AR115" s="1007"/>
      <c r="AS115" s="1007"/>
      <c r="AT115" s="1007"/>
      <c r="AU115" s="1007"/>
      <c r="AV115" s="1007"/>
      <c r="AW115" s="1007"/>
      <c r="AX115" s="1007"/>
      <c r="AY115" s="1007"/>
      <c r="AZ115" s="1007"/>
      <c r="BA115" s="1007"/>
      <c r="BB115" s="1007"/>
      <c r="BC115" s="1007"/>
      <c r="BD115" s="1007"/>
      <c r="BE115" s="1007"/>
      <c r="BF115" s="1007"/>
      <c r="BG115" s="1007"/>
      <c r="BH115" s="1007"/>
      <c r="BI115" s="1007"/>
      <c r="BJ115" s="776"/>
      <c r="BK115" s="860"/>
      <c r="BL115" s="1326"/>
      <c r="BM115" s="1326"/>
    </row>
    <row r="116" spans="1:65" s="1012" customFormat="1" ht="18.5" x14ac:dyDescent="0.35">
      <c r="A116" s="818">
        <v>41</v>
      </c>
      <c r="B116" s="1013"/>
      <c r="C116" s="1014"/>
      <c r="D116" s="1014"/>
      <c r="E116" s="1015" t="s">
        <v>859</v>
      </c>
      <c r="F116" s="1016"/>
      <c r="G116" s="1016"/>
      <c r="H116" s="1016"/>
      <c r="I116" s="1016"/>
      <c r="J116" s="1016"/>
      <c r="K116" s="1016"/>
      <c r="L116" s="1016"/>
      <c r="M116" s="1016"/>
      <c r="N116" s="1016"/>
      <c r="O116" s="1017"/>
      <c r="P116" s="1018"/>
      <c r="Q116" s="1016"/>
      <c r="R116" s="1016"/>
      <c r="S116" s="1018"/>
      <c r="T116" s="1019">
        <f>T7+T10+T32+T35+T37+T39+T42+T44+T47+T55+T57+T59+T61+T63+T65+T67+T69+T77+T79+T81+T83+T86+T88+T90+T93+T101+T103+T105+T107+T109+T111</f>
        <v>269813417.78999996</v>
      </c>
      <c r="U116" s="1020"/>
      <c r="W116" s="1266"/>
      <c r="X116" s="1021"/>
      <c r="Y116" s="1022"/>
      <c r="AA116" s="1023"/>
      <c r="AB116" s="1021"/>
      <c r="AC116" s="1020"/>
      <c r="AE116" s="1023"/>
      <c r="AG116" s="1023"/>
      <c r="AH116" s="821">
        <v>41</v>
      </c>
      <c r="AI116" s="758"/>
      <c r="AK116" s="1024"/>
      <c r="AL116" s="1023"/>
      <c r="AM116" s="1025"/>
      <c r="AN116" s="1025"/>
      <c r="AO116" s="1025"/>
      <c r="AP116" s="1025"/>
      <c r="AQ116" s="1025"/>
      <c r="AR116" s="1025"/>
      <c r="AS116" s="1025"/>
      <c r="AT116" s="1025"/>
      <c r="AU116" s="1025"/>
      <c r="AV116" s="1025"/>
      <c r="AW116" s="1025"/>
      <c r="AX116" s="1025"/>
      <c r="AY116" s="1025"/>
      <c r="AZ116" s="1025"/>
      <c r="BA116" s="1025"/>
      <c r="BB116" s="1025"/>
      <c r="BC116" s="1025"/>
      <c r="BD116" s="1025"/>
      <c r="BE116" s="1025"/>
      <c r="BF116" s="1025"/>
      <c r="BG116" s="1025"/>
      <c r="BH116" s="1025"/>
      <c r="BI116" s="1025"/>
      <c r="BJ116" s="758"/>
      <c r="BK116" s="860"/>
      <c r="BL116" s="1326"/>
      <c r="BM116" s="1326"/>
    </row>
    <row r="117" spans="1:65" s="1012" customFormat="1" ht="18.5" x14ac:dyDescent="0.35">
      <c r="A117" s="818">
        <v>42</v>
      </c>
      <c r="B117" s="1026"/>
      <c r="C117" s="1026"/>
      <c r="D117" s="1026"/>
      <c r="E117" s="1027" t="s">
        <v>860</v>
      </c>
      <c r="F117" s="1028"/>
      <c r="G117" s="1028"/>
      <c r="H117" s="1028"/>
      <c r="I117" s="1028"/>
      <c r="J117" s="1028"/>
      <c r="K117" s="1028"/>
      <c r="L117" s="1028"/>
      <c r="M117" s="1028"/>
      <c r="N117" s="1028"/>
      <c r="O117" s="1029"/>
      <c r="P117" s="1030"/>
      <c r="Q117" s="1028"/>
      <c r="R117" s="1028"/>
      <c r="S117" s="1030"/>
      <c r="T117" s="1028"/>
      <c r="U117" s="1028"/>
      <c r="V117" s="1030"/>
      <c r="W117" s="1267"/>
      <c r="X117" s="1031"/>
      <c r="Y117" s="1032"/>
      <c r="Z117" s="1033"/>
      <c r="AA117" s="1263">
        <f>AA7+AA10+AA32+AA35+AA37+AA39+AA42+AA44+AA47+AA55+AA57+AA59+AA61+AA63+AA65+AA67+AA69+AA77+AA79+AA81+AA83+AA86+AA88+AA90+AA93+AA101+AA103+AA105+AA107+AA109+AA111</f>
        <v>101191826.55334638</v>
      </c>
      <c r="AB117" s="1031"/>
      <c r="AC117" s="1034"/>
      <c r="AD117" s="1033"/>
      <c r="AE117" s="1263">
        <f>AE7+AE10+AE32+AE35+AE37+AE39+AE42+AE44+AE47+AE55+AE57+AE59+AE61+AE63+AE65+AE67+AE69+AE77+AE79+AE81+AE83+AE86+AE88+AE90+AE93+AE101+AE103+AE105+AE107+AE109+AE111</f>
        <v>88020756.33642441</v>
      </c>
      <c r="AF117" s="1011"/>
      <c r="AG117" s="1009"/>
      <c r="AH117" s="821">
        <v>42</v>
      </c>
      <c r="AI117" s="881"/>
      <c r="AJ117" s="1011"/>
      <c r="AK117" s="1011"/>
      <c r="AL117" s="1006"/>
      <c r="AM117" s="1007"/>
      <c r="AN117" s="1007"/>
      <c r="AO117" s="1007"/>
      <c r="AP117" s="1007"/>
      <c r="AQ117" s="1007"/>
      <c r="AR117" s="1007"/>
      <c r="AS117" s="1007"/>
      <c r="AT117" s="1007"/>
      <c r="AU117" s="1007"/>
      <c r="AV117" s="1007"/>
      <c r="AW117" s="1007"/>
      <c r="AX117" s="1007"/>
      <c r="AY117" s="1007"/>
      <c r="AZ117" s="1007"/>
      <c r="BA117" s="1007"/>
      <c r="BB117" s="1007"/>
      <c r="BC117" s="1007"/>
      <c r="BD117" s="1007"/>
      <c r="BE117" s="1007"/>
      <c r="BF117" s="1007"/>
      <c r="BG117" s="1007"/>
      <c r="BH117" s="1007"/>
      <c r="BI117" s="1007"/>
      <c r="BJ117" s="1035"/>
      <c r="BK117" s="860"/>
      <c r="BL117" s="1326"/>
      <c r="BM117" s="1326"/>
    </row>
    <row r="118" spans="1:65" s="1012" customFormat="1" ht="18.5" x14ac:dyDescent="0.35">
      <c r="A118" s="818">
        <v>43</v>
      </c>
      <c r="B118" s="1036"/>
      <c r="C118" s="1036"/>
      <c r="D118" s="1036"/>
      <c r="E118" s="1037" t="s">
        <v>861</v>
      </c>
      <c r="F118" s="1038"/>
      <c r="G118" s="1038"/>
      <c r="H118" s="1038"/>
      <c r="I118" s="1038"/>
      <c r="J118" s="1038"/>
      <c r="K118" s="1038"/>
      <c r="L118" s="1038"/>
      <c r="M118" s="1038"/>
      <c r="N118" s="1038"/>
      <c r="O118" s="1039"/>
      <c r="P118" s="1040"/>
      <c r="Q118" s="1038"/>
      <c r="R118" s="1038"/>
      <c r="S118" s="1040"/>
      <c r="T118" s="1038"/>
      <c r="U118" s="1038"/>
      <c r="V118" s="1040"/>
      <c r="W118" s="1038"/>
      <c r="X118" s="1041">
        <f>X7+X10+X32+X35+X37+X39+X42+X44+X47+X55+X57+X59+X61+X63+X65+X67+X69+X77+X79+X81+X83+X86+X88+X90+X93+X101+X103+X105+X107+X109+X111</f>
        <v>334710808.70865363</v>
      </c>
      <c r="Y118" s="1042"/>
      <c r="Z118" s="1043"/>
      <c r="AA118" s="1264"/>
      <c r="AB118" s="1041">
        <f>AB7+AB10+AB32+AB35+AB37+AB39+AB42+AB44+AB47+AB55+AB57+AB59+AB61+AB63+AB65+AB67+AB69+AB77+AB79+AB81+AB83+AB86+AB88+AB90+AB93+AB101+AB103+AB105+AB107+AB109+AB111</f>
        <v>13171070.216921974</v>
      </c>
      <c r="AC118" s="1020"/>
      <c r="AE118" s="1263"/>
      <c r="AG118" s="1023"/>
      <c r="AH118" s="821">
        <v>43</v>
      </c>
      <c r="AI118" s="821">
        <v>43</v>
      </c>
      <c r="AJ118" s="1036"/>
      <c r="AK118" s="1037" t="s">
        <v>862</v>
      </c>
      <c r="AL118" s="1044">
        <f>AL7+AL10+AL32+AL35+AL37+AL39+AL42+AL44+AL47+AL55+AL57+AL59+AL61+AL63+AL65+AL67+AL69+AL77+AL79+AL81+AL83+AL86+AL88+AL91+AL93+AL101+AL103+AL105+AL107+AL109+AL111</f>
        <v>176572685.29192814</v>
      </c>
      <c r="AM118" s="1044">
        <f>AM7+AM10+AM32+AM35+AM37+AM39+AM42+AM44+AM47+AM55+AM57+AM59+AM61+AM63+AM65+AM67+AM69+AM77+AM79+AM81+AM83+AM86+AM88+AM90+AM93+AM101+AM103+AM105+AM107+AM109+AM111</f>
        <v>20365231.899749998</v>
      </c>
      <c r="AN118" s="1044">
        <f>AN7+AN10+AN32+AN35+AN37+AN39+AN42+AN44+AN47+AN55+AN57+AN59+AN61+AN63+AN65+AN67+AN69+AN77+AN79+AN81+AN83+AN86+AN88+AN91+AN93+AN101+AN103+AN105+AN107+AN109+AN111</f>
        <v>41576994.724494725</v>
      </c>
      <c r="AO118" s="1044">
        <f>AO7+AO10+AO32+AO35+AO37+AO39+AO42+AO44+AO47+AO55+AO57+AO59+AO61+AO63+AO65+AO67+AO69+AO77+AO79+AO81+AO83+AO86+AO88+AN90+AO93+AO101+AO103+AO105+AO107+AO109+AO111</f>
        <v>6605507.8456795914</v>
      </c>
      <c r="AP118" s="1044">
        <f>AP7+AP10+AP32+AP35+AP37+AP39+AP42+AP44+AP47+AP55+AP57+AP59+AP61+AP63+AP65+AP67+AP69+AP77+AP79+AP81+AP83+AP86+AP88+AO90+AP93+AP101+AP103+AP105+AP107+AP109+AP111</f>
        <v>2900000</v>
      </c>
      <c r="AQ118" s="1044">
        <f>AQ7+AQ10+AQ32+AQ35+AQ37+AQ39+AQ42+AQ44+AQ47+AQ55+AQ57+AQ59+AQ61+AQ63+AQ65+AQ67+AQ69+AQ77+AQ79+AQ81+AQ83+AQ86+AQ88+AQ90+AQ93+AQ101+AQ103+AQ105+AQ107+AQ109+AQ111</f>
        <v>28500969.442000475</v>
      </c>
      <c r="AR118" s="1044">
        <f>AR7+AR10+AR32+AR35+AR37+AR39+AR42+AR44+AR47+AR55+AR57+AR59+AR61+AR63+AR65+AR67+AR69+AR77+AR79+AR81+AR83+AR86+AR88+AR90+AR93+AR101+AR103+AR105+AR107+AR109+AR111</f>
        <v>10238037.585000237</v>
      </c>
      <c r="AS118" s="1044">
        <f>AS7+AS10+AS32+AS35+AS37+AS39+AS42+AS44+AS47+AS55+AS57+AS59+AS61+AS63+AS65+AS67+AS69+AS77+AS79+AS81+AS83+AS86+AS88+AS91+AS93+AS101+AS103+AS105+AS107+AS109+AS111</f>
        <v>7461373.3380569592</v>
      </c>
      <c r="AT118" s="1044">
        <f t="shared" ref="AT118:BI118" si="1">AT7+AT10+AT32+AT35+AT37+AT39+AT42+AT44+AT47+AT55+AT57+AT59+AT61+AT63+AT65+AT67+AT69+AT77+AT79+AT81+AT83+AT86+AT88+AT90+AT93+AT101+AT103+AT105+AT107+AT109+AT111</f>
        <v>418384.39395497082</v>
      </c>
      <c r="AU118" s="1044">
        <f t="shared" si="1"/>
        <v>179307.59740927321</v>
      </c>
      <c r="AV118" s="1044">
        <f t="shared" si="1"/>
        <v>209192.19697748541</v>
      </c>
      <c r="AW118" s="1044">
        <f t="shared" si="1"/>
        <v>209192.19697748541</v>
      </c>
      <c r="AX118" s="1044">
        <f t="shared" si="1"/>
        <v>119538.3982728488</v>
      </c>
      <c r="AY118" s="1044">
        <f t="shared" si="1"/>
        <v>95630.718618279046</v>
      </c>
      <c r="AZ118" s="1044">
        <f t="shared" si="1"/>
        <v>89653.798704636603</v>
      </c>
      <c r="BA118" s="1044">
        <f t="shared" si="1"/>
        <v>77699.958877351732</v>
      </c>
      <c r="BB118" s="1044">
        <f t="shared" si="1"/>
        <v>59769.199136424402</v>
      </c>
      <c r="BC118" s="1044">
        <f t="shared" si="1"/>
        <v>59769.199136424402</v>
      </c>
      <c r="BD118" s="1044">
        <f t="shared" si="1"/>
        <v>59769.199136424402</v>
      </c>
      <c r="BE118" s="1044">
        <f t="shared" si="1"/>
        <v>59769.199136424402</v>
      </c>
      <c r="BF118" s="1044">
        <f t="shared" si="1"/>
        <v>59769.199136424402</v>
      </c>
      <c r="BG118" s="1044">
        <f t="shared" si="1"/>
        <v>12671070.216921974</v>
      </c>
      <c r="BH118" s="1044">
        <f t="shared" si="1"/>
        <v>0</v>
      </c>
      <c r="BI118" s="1044">
        <f t="shared" si="1"/>
        <v>500000</v>
      </c>
      <c r="BJ118" s="821">
        <v>43</v>
      </c>
      <c r="BK118" s="860"/>
      <c r="BL118" s="1326"/>
      <c r="BM118" s="1326"/>
    </row>
    <row r="119" spans="1:65" s="1012" customFormat="1" ht="18.5" x14ac:dyDescent="0.35">
      <c r="A119" s="818">
        <v>44</v>
      </c>
      <c r="B119" s="1045"/>
      <c r="C119" s="1045"/>
      <c r="D119" s="1045"/>
      <c r="E119" s="1046" t="s">
        <v>863</v>
      </c>
      <c r="F119" s="1047"/>
      <c r="G119" s="1047"/>
      <c r="H119" s="1047"/>
      <c r="I119" s="1047"/>
      <c r="J119" s="1047"/>
      <c r="K119" s="1047"/>
      <c r="L119" s="1047"/>
      <c r="M119" s="1047"/>
      <c r="N119" s="1047"/>
      <c r="O119" s="1048"/>
      <c r="P119" s="1049"/>
      <c r="Q119" s="1047"/>
      <c r="R119" s="1047"/>
      <c r="S119" s="1049"/>
      <c r="T119" s="1050">
        <f>171180000</f>
        <v>171180000</v>
      </c>
      <c r="U119" s="1047"/>
      <c r="V119" s="1049"/>
      <c r="W119" s="1047"/>
      <c r="X119" s="1050" t="s">
        <v>864</v>
      </c>
      <c r="Y119" s="1047"/>
      <c r="Z119" s="1049"/>
      <c r="AA119" s="1049"/>
      <c r="AB119" s="1050"/>
      <c r="AC119" s="1047"/>
      <c r="AD119" s="1049"/>
      <c r="AE119" s="1049"/>
      <c r="AF119" s="1051"/>
      <c r="AG119" s="1052" t="s">
        <v>864</v>
      </c>
      <c r="AH119" s="821">
        <v>44</v>
      </c>
      <c r="AI119" s="821">
        <v>44</v>
      </c>
      <c r="AJ119" s="1045"/>
      <c r="AK119" s="1046" t="s">
        <v>863</v>
      </c>
      <c r="AL119" s="1053" t="s">
        <v>864</v>
      </c>
      <c r="AM119" s="1054">
        <f t="shared" ref="AM119:BI119" si="2">AM33+AM91</f>
        <v>18875712.034310851</v>
      </c>
      <c r="AN119" s="1054">
        <f t="shared" si="2"/>
        <v>18677900.859472141</v>
      </c>
      <c r="AO119" s="1054">
        <f t="shared" si="2"/>
        <v>5387856.0171554256</v>
      </c>
      <c r="AP119" s="1054">
        <f t="shared" si="2"/>
        <v>0</v>
      </c>
      <c r="AQ119" s="1054">
        <f t="shared" si="2"/>
        <v>15085996.84803519</v>
      </c>
      <c r="AR119" s="1054">
        <f t="shared" si="2"/>
        <v>7542998.4240175951</v>
      </c>
      <c r="AS119" s="1054">
        <f t="shared" si="2"/>
        <v>3951094.4125806447</v>
      </c>
      <c r="AT119" s="1054">
        <f t="shared" si="2"/>
        <v>0</v>
      </c>
      <c r="AU119" s="1054">
        <f t="shared" si="2"/>
        <v>0</v>
      </c>
      <c r="AV119" s="1054">
        <f t="shared" si="2"/>
        <v>0</v>
      </c>
      <c r="AW119" s="1054">
        <f t="shared" si="2"/>
        <v>0</v>
      </c>
      <c r="AX119" s="1054">
        <f t="shared" si="2"/>
        <v>0</v>
      </c>
      <c r="AY119" s="1054">
        <f t="shared" si="2"/>
        <v>0</v>
      </c>
      <c r="AZ119" s="1054">
        <f t="shared" si="2"/>
        <v>0</v>
      </c>
      <c r="BA119" s="1054">
        <f t="shared" si="2"/>
        <v>0</v>
      </c>
      <c r="BB119" s="1054">
        <f t="shared" si="2"/>
        <v>0</v>
      </c>
      <c r="BC119" s="1054">
        <f t="shared" si="2"/>
        <v>0</v>
      </c>
      <c r="BD119" s="1054">
        <f t="shared" si="2"/>
        <v>0</v>
      </c>
      <c r="BE119" s="1054">
        <f t="shared" si="2"/>
        <v>0</v>
      </c>
      <c r="BF119" s="1054">
        <f t="shared" si="2"/>
        <v>0</v>
      </c>
      <c r="BG119" s="1054">
        <f t="shared" si="2"/>
        <v>0</v>
      </c>
      <c r="BH119" s="1054">
        <f t="shared" si="2"/>
        <v>0</v>
      </c>
      <c r="BI119" s="1054">
        <f t="shared" si="2"/>
        <v>0</v>
      </c>
      <c r="BJ119" s="821">
        <v>44</v>
      </c>
      <c r="BK119" s="860"/>
      <c r="BL119" s="1327"/>
      <c r="BM119" s="1327"/>
    </row>
    <row r="120" spans="1:65" s="758" customFormat="1" ht="15" customHeight="1" x14ac:dyDescent="0.35">
      <c r="A120" s="757"/>
      <c r="B120" s="1055" t="s">
        <v>449</v>
      </c>
      <c r="C120" s="1055" t="s">
        <v>450</v>
      </c>
      <c r="D120" s="1055" t="s">
        <v>451</v>
      </c>
      <c r="E120" s="1055" t="s">
        <v>452</v>
      </c>
      <c r="F120" s="1056"/>
      <c r="G120" s="1057"/>
      <c r="H120" s="1057"/>
      <c r="I120" s="1057"/>
      <c r="J120" s="1057" t="s">
        <v>453</v>
      </c>
      <c r="K120" s="1057"/>
      <c r="L120" s="1057"/>
      <c r="M120" s="1057"/>
      <c r="N120" s="1058"/>
      <c r="O120" s="1055" t="s">
        <v>454</v>
      </c>
      <c r="P120" s="1055" t="s">
        <v>455</v>
      </c>
      <c r="Q120" s="1055" t="s">
        <v>456</v>
      </c>
      <c r="R120" s="1055"/>
      <c r="S120" s="1055" t="s">
        <v>457</v>
      </c>
      <c r="T120" s="1055" t="s">
        <v>458</v>
      </c>
      <c r="U120" s="1055" t="s">
        <v>459</v>
      </c>
      <c r="V120" s="1055" t="s">
        <v>460</v>
      </c>
      <c r="W120" s="1055" t="s">
        <v>461</v>
      </c>
      <c r="X120" s="1055" t="s">
        <v>242</v>
      </c>
      <c r="Y120" s="1055" t="s">
        <v>462</v>
      </c>
      <c r="Z120" s="1055" t="s">
        <v>463</v>
      </c>
      <c r="AA120" s="1055" t="s">
        <v>464</v>
      </c>
      <c r="AB120" s="1055" t="s">
        <v>465</v>
      </c>
      <c r="AC120" s="1055" t="s">
        <v>466</v>
      </c>
      <c r="AD120" s="1055" t="s">
        <v>467</v>
      </c>
      <c r="AE120" s="1055" t="s">
        <v>468</v>
      </c>
      <c r="AF120" s="1055" t="s">
        <v>469</v>
      </c>
      <c r="AG120" s="1055" t="s">
        <v>470</v>
      </c>
      <c r="AJ120" s="1055" t="s">
        <v>449</v>
      </c>
      <c r="AK120" s="1055" t="s">
        <v>450</v>
      </c>
      <c r="AL120" s="1055" t="s">
        <v>471</v>
      </c>
      <c r="AM120" s="1059" t="s">
        <v>472</v>
      </c>
      <c r="AN120" s="1055" t="s">
        <v>473</v>
      </c>
      <c r="AO120" s="1055" t="s">
        <v>474</v>
      </c>
      <c r="AP120" s="1055" t="s">
        <v>475</v>
      </c>
      <c r="AQ120" s="1055" t="s">
        <v>476</v>
      </c>
      <c r="AR120" s="1055" t="s">
        <v>477</v>
      </c>
      <c r="AS120" s="1055" t="s">
        <v>478</v>
      </c>
      <c r="AT120" s="1055" t="s">
        <v>479</v>
      </c>
      <c r="AU120" s="1055" t="s">
        <v>480</v>
      </c>
      <c r="AV120" s="1055" t="s">
        <v>481</v>
      </c>
      <c r="AW120" s="1055" t="s">
        <v>482</v>
      </c>
      <c r="AX120" s="1055" t="s">
        <v>483</v>
      </c>
      <c r="AY120" s="1055" t="s">
        <v>484</v>
      </c>
      <c r="AZ120" s="1055" t="s">
        <v>485</v>
      </c>
      <c r="BA120" s="1055" t="s">
        <v>486</v>
      </c>
      <c r="BB120" s="1055" t="s">
        <v>487</v>
      </c>
      <c r="BC120" s="1055" t="s">
        <v>488</v>
      </c>
      <c r="BD120" s="1055" t="s">
        <v>489</v>
      </c>
      <c r="BE120" s="1055" t="s">
        <v>490</v>
      </c>
      <c r="BF120" s="1055" t="s">
        <v>491</v>
      </c>
      <c r="BG120" s="1059" t="s">
        <v>492</v>
      </c>
      <c r="BH120" s="1055" t="s">
        <v>493</v>
      </c>
      <c r="BI120" s="1055" t="s">
        <v>494</v>
      </c>
    </row>
    <row r="121" spans="1:65" x14ac:dyDescent="0.35">
      <c r="AL121" s="928"/>
      <c r="AM121" s="1060"/>
      <c r="AN121" s="928"/>
      <c r="AO121" s="928"/>
      <c r="AP121" s="928"/>
      <c r="AQ121" s="928"/>
      <c r="AR121" s="928"/>
      <c r="AS121" s="928"/>
      <c r="AT121" s="928"/>
      <c r="AU121" s="928"/>
      <c r="AV121" s="928"/>
      <c r="AW121" s="928"/>
      <c r="AX121" s="928"/>
      <c r="AY121" s="928"/>
      <c r="AZ121" s="928"/>
      <c r="BA121" s="928"/>
      <c r="BB121" s="928"/>
      <c r="BC121" s="928"/>
      <c r="BD121" s="928"/>
      <c r="BE121" s="928"/>
      <c r="BF121" s="928"/>
      <c r="BG121" s="1060"/>
    </row>
    <row r="122" spans="1:65" x14ac:dyDescent="0.35">
      <c r="X122" s="1061"/>
      <c r="AB122" s="1061"/>
      <c r="AL122" s="928"/>
      <c r="AM122" s="1060"/>
      <c r="AN122" s="928"/>
      <c r="AO122" s="928"/>
      <c r="AP122" s="928"/>
      <c r="AQ122" s="928"/>
      <c r="AR122" s="928"/>
      <c r="AS122" s="1062"/>
      <c r="AT122" s="1062"/>
      <c r="AU122" s="1062"/>
      <c r="AV122" s="1062"/>
      <c r="AW122" s="1062"/>
      <c r="AX122" s="1062"/>
      <c r="AY122" s="1062"/>
      <c r="AZ122" s="1062"/>
      <c r="BA122" s="1062"/>
      <c r="BB122" s="1062"/>
      <c r="BC122" s="1062"/>
      <c r="BD122" s="1062"/>
      <c r="BE122" s="1062"/>
      <c r="BF122" s="1062"/>
      <c r="BG122" s="1062"/>
    </row>
    <row r="123" spans="1:65" x14ac:dyDescent="0.35">
      <c r="AL123" s="1063"/>
      <c r="AM123" s="1060"/>
      <c r="AN123" s="928"/>
      <c r="AO123" s="928"/>
      <c r="AP123" s="928"/>
      <c r="AQ123" s="928"/>
      <c r="AR123" s="928"/>
      <c r="AS123" s="928"/>
      <c r="AT123" s="928"/>
      <c r="AU123" s="928"/>
      <c r="AV123" s="928"/>
      <c r="AW123" s="928"/>
      <c r="AX123" s="928"/>
      <c r="AY123" s="928"/>
      <c r="AZ123" s="928"/>
      <c r="BA123" s="928"/>
      <c r="BB123" s="928"/>
      <c r="BC123" s="928"/>
      <c r="BD123" s="928"/>
      <c r="BE123" s="928"/>
      <c r="BF123" s="928"/>
      <c r="BG123" s="1060"/>
    </row>
    <row r="124" spans="1:65" x14ac:dyDescent="0.35">
      <c r="Q124" s="750"/>
      <c r="R124" s="750"/>
      <c r="W124" s="1061"/>
      <c r="X124" s="1061"/>
      <c r="AL124" s="928"/>
      <c r="AM124" s="1060"/>
      <c r="AN124" s="1064"/>
      <c r="AO124" s="1065"/>
      <c r="AP124" s="1064"/>
      <c r="AQ124" s="1065"/>
      <c r="AR124" s="1066"/>
      <c r="AS124" s="928"/>
      <c r="AT124" s="928"/>
      <c r="AU124" s="928"/>
      <c r="AV124" s="928"/>
      <c r="AW124" s="928"/>
      <c r="AX124" s="928"/>
      <c r="AY124" s="928"/>
      <c r="AZ124" s="928"/>
      <c r="BA124" s="928"/>
      <c r="BB124" s="928"/>
      <c r="BC124" s="928"/>
      <c r="BD124" s="928"/>
      <c r="BE124" s="928"/>
      <c r="BF124" s="928"/>
      <c r="BG124" s="1060"/>
    </row>
    <row r="125" spans="1:65" x14ac:dyDescent="0.35">
      <c r="Q125" s="750"/>
      <c r="R125" s="750"/>
      <c r="AL125" s="928"/>
      <c r="AM125" s="1060"/>
      <c r="AN125" s="1066"/>
      <c r="AO125" s="1066"/>
      <c r="AP125" s="1064"/>
      <c r="AQ125" s="1066"/>
      <c r="AR125" s="1066"/>
      <c r="AS125" s="1066"/>
      <c r="AT125" s="928"/>
      <c r="AU125" s="928"/>
      <c r="AV125" s="928"/>
      <c r="AW125" s="928"/>
      <c r="AX125" s="928"/>
      <c r="AY125" s="928"/>
      <c r="AZ125" s="928"/>
      <c r="BA125" s="928"/>
      <c r="BB125" s="928"/>
      <c r="BC125" s="928"/>
      <c r="BD125" s="928"/>
      <c r="BE125" s="928"/>
      <c r="BF125" s="928"/>
      <c r="BG125" s="1060"/>
    </row>
    <row r="126" spans="1:65" x14ac:dyDescent="0.35">
      <c r="Q126" s="750"/>
      <c r="R126" s="750"/>
      <c r="AL126" s="928"/>
      <c r="AM126" s="1060"/>
      <c r="AN126" s="928"/>
      <c r="AO126" s="928"/>
      <c r="AP126" s="928"/>
      <c r="AQ126" s="928"/>
      <c r="AR126" s="928"/>
      <c r="AS126" s="928"/>
      <c r="AT126" s="928"/>
      <c r="AU126" s="928"/>
      <c r="AV126" s="928"/>
      <c r="AW126" s="928"/>
      <c r="AX126" s="928"/>
      <c r="AY126" s="928"/>
      <c r="AZ126" s="928"/>
      <c r="BA126" s="928"/>
      <c r="BB126" s="928"/>
      <c r="BC126" s="928"/>
      <c r="BD126" s="928"/>
      <c r="BE126" s="928"/>
      <c r="BF126" s="928"/>
      <c r="BG126" s="1060"/>
    </row>
    <row r="127" spans="1:65" x14ac:dyDescent="0.35">
      <c r="Q127" s="750"/>
      <c r="R127" s="750"/>
      <c r="X127" s="1061"/>
      <c r="AL127" s="928"/>
      <c r="AM127" s="1060"/>
      <c r="AN127" s="928"/>
      <c r="AO127" s="928"/>
      <c r="AP127" s="928"/>
      <c r="AQ127" s="928"/>
      <c r="AR127" s="1066"/>
      <c r="AS127" s="928"/>
      <c r="AT127" s="928"/>
      <c r="AU127" s="928"/>
      <c r="AV127" s="928"/>
      <c r="AW127" s="928"/>
      <c r="AX127" s="928"/>
      <c r="AY127" s="928"/>
      <c r="AZ127" s="928"/>
      <c r="BA127" s="928"/>
      <c r="BB127" s="928"/>
      <c r="BC127" s="928"/>
      <c r="BD127" s="928"/>
      <c r="BE127" s="928"/>
      <c r="BF127" s="928"/>
      <c r="BG127" s="1060"/>
    </row>
    <row r="128" spans="1:65" x14ac:dyDescent="0.35">
      <c r="Q128" s="750"/>
      <c r="R128" s="750"/>
      <c r="AL128" s="928"/>
      <c r="AM128" s="1060"/>
      <c r="AN128" s="928"/>
      <c r="AO128" s="928"/>
      <c r="AP128" s="928"/>
      <c r="AQ128" s="928"/>
      <c r="AR128" s="928"/>
      <c r="AS128" s="928"/>
      <c r="AT128" s="928"/>
      <c r="AU128" s="928"/>
      <c r="AV128" s="928"/>
      <c r="AW128" s="928"/>
      <c r="AX128" s="928"/>
      <c r="AY128" s="928"/>
      <c r="AZ128" s="928"/>
      <c r="BA128" s="928"/>
      <c r="BB128" s="928"/>
      <c r="BC128" s="928"/>
      <c r="BD128" s="928"/>
      <c r="BE128" s="928"/>
      <c r="BF128" s="928"/>
      <c r="BG128" s="1060"/>
    </row>
    <row r="129" spans="17:59" x14ac:dyDescent="0.35">
      <c r="Q129" s="750"/>
      <c r="R129" s="750"/>
      <c r="AL129" s="928"/>
      <c r="AM129" s="1060"/>
      <c r="AN129" s="928"/>
      <c r="AO129" s="928"/>
      <c r="AP129" s="928"/>
      <c r="AQ129" s="928"/>
      <c r="AR129" s="928"/>
      <c r="AS129" s="928"/>
      <c r="AT129" s="928"/>
      <c r="AU129" s="928"/>
      <c r="AV129" s="928"/>
      <c r="AW129" s="928"/>
      <c r="AX129" s="928"/>
      <c r="AY129" s="928"/>
      <c r="AZ129" s="928"/>
      <c r="BA129" s="928"/>
      <c r="BB129" s="928"/>
      <c r="BC129" s="928"/>
      <c r="BD129" s="928"/>
      <c r="BE129" s="928"/>
      <c r="BF129" s="928"/>
      <c r="BG129" s="1060"/>
    </row>
    <row r="130" spans="17:59" x14ac:dyDescent="0.35">
      <c r="Q130" s="750"/>
      <c r="R130" s="750"/>
      <c r="AL130" s="928"/>
      <c r="AM130" s="1060"/>
      <c r="AN130" s="928"/>
      <c r="AO130" s="928"/>
      <c r="AP130" s="928"/>
      <c r="AQ130" s="928"/>
      <c r="AR130" s="928"/>
      <c r="AS130" s="928"/>
      <c r="AT130" s="928"/>
      <c r="AU130" s="928"/>
      <c r="AV130" s="928"/>
      <c r="AW130" s="928"/>
      <c r="AX130" s="928"/>
      <c r="AY130" s="928"/>
      <c r="AZ130" s="928"/>
      <c r="BA130" s="928"/>
      <c r="BB130" s="928"/>
      <c r="BC130" s="928"/>
      <c r="BD130" s="928"/>
      <c r="BE130" s="928"/>
      <c r="BF130" s="928"/>
      <c r="BG130" s="1060"/>
    </row>
    <row r="131" spans="17:59" x14ac:dyDescent="0.35">
      <c r="AL131" s="928"/>
      <c r="AM131" s="1060"/>
      <c r="AN131" s="928"/>
      <c r="AO131" s="928"/>
      <c r="AP131" s="928"/>
      <c r="AQ131" s="928"/>
      <c r="AR131" s="928"/>
      <c r="AS131" s="928"/>
      <c r="AT131" s="928"/>
      <c r="AU131" s="928"/>
      <c r="AV131" s="928"/>
      <c r="AW131" s="928"/>
      <c r="AX131" s="928"/>
      <c r="AY131" s="928"/>
      <c r="AZ131" s="928"/>
      <c r="BA131" s="928"/>
      <c r="BB131" s="928"/>
      <c r="BC131" s="928"/>
      <c r="BD131" s="928"/>
      <c r="BE131" s="928"/>
      <c r="BF131" s="928"/>
      <c r="BG131" s="1060"/>
    </row>
    <row r="132" spans="17:59" x14ac:dyDescent="0.35">
      <c r="S132" s="1067"/>
      <c r="AL132" s="928"/>
      <c r="AM132" s="1060"/>
      <c r="AN132" s="928"/>
      <c r="AO132" s="928"/>
      <c r="AP132" s="928"/>
      <c r="AQ132" s="928"/>
      <c r="AR132" s="928"/>
      <c r="AS132" s="928"/>
      <c r="AT132" s="928"/>
      <c r="AU132" s="928"/>
      <c r="AV132" s="928"/>
      <c r="AW132" s="928"/>
      <c r="AX132" s="928"/>
      <c r="AY132" s="928"/>
      <c r="AZ132" s="928"/>
      <c r="BA132" s="928"/>
      <c r="BB132" s="928"/>
      <c r="BC132" s="928"/>
      <c r="BD132" s="928"/>
      <c r="BE132" s="928"/>
      <c r="BF132" s="928"/>
      <c r="BG132" s="1060"/>
    </row>
    <row r="133" spans="17:59" x14ac:dyDescent="0.35">
      <c r="AL133" s="928"/>
      <c r="AM133" s="1060"/>
      <c r="AN133" s="928"/>
      <c r="AO133" s="928"/>
      <c r="AP133" s="928"/>
      <c r="AQ133" s="928"/>
      <c r="AR133" s="928"/>
      <c r="AS133" s="928"/>
      <c r="AT133" s="928"/>
      <c r="AU133" s="928"/>
      <c r="AV133" s="928"/>
      <c r="AW133" s="928"/>
      <c r="AX133" s="928"/>
      <c r="AY133" s="928"/>
      <c r="AZ133" s="928"/>
      <c r="BA133" s="928"/>
      <c r="BB133" s="928"/>
      <c r="BC133" s="928"/>
      <c r="BD133" s="928"/>
      <c r="BE133" s="928"/>
      <c r="BF133" s="928"/>
      <c r="BG133" s="1060"/>
    </row>
    <row r="134" spans="17:59" x14ac:dyDescent="0.35">
      <c r="AL134" s="928"/>
      <c r="AM134" s="1060"/>
      <c r="AN134" s="928"/>
      <c r="AO134" s="928"/>
      <c r="AP134" s="928"/>
      <c r="AQ134" s="928"/>
      <c r="AR134" s="928"/>
      <c r="AS134" s="928"/>
      <c r="AT134" s="928"/>
      <c r="AU134" s="928"/>
      <c r="AV134" s="928"/>
      <c r="AW134" s="928"/>
      <c r="AX134" s="928"/>
      <c r="AY134" s="928"/>
      <c r="AZ134" s="928"/>
      <c r="BA134" s="928"/>
      <c r="BB134" s="928"/>
      <c r="BC134" s="928"/>
      <c r="BD134" s="928"/>
      <c r="BE134" s="1068"/>
      <c r="BF134" s="1069"/>
      <c r="BG134" s="1060"/>
    </row>
    <row r="135" spans="17:59" x14ac:dyDescent="0.35">
      <c r="AL135" s="928"/>
      <c r="AM135" s="1060"/>
      <c r="AN135" s="928"/>
      <c r="AO135" s="928"/>
      <c r="AP135" s="928"/>
      <c r="AQ135" s="928"/>
      <c r="AR135" s="928"/>
      <c r="AS135" s="928"/>
      <c r="AT135" s="928"/>
      <c r="AU135" s="928"/>
      <c r="AV135" s="928"/>
      <c r="AW135" s="928"/>
      <c r="AX135" s="928"/>
      <c r="AY135" s="928"/>
      <c r="AZ135" s="928"/>
      <c r="BA135" s="928"/>
      <c r="BB135" s="928"/>
      <c r="BC135" s="928"/>
      <c r="BD135" s="928"/>
      <c r="BE135" s="1068"/>
      <c r="BF135" s="1068"/>
      <c r="BG135" s="1060"/>
    </row>
    <row r="136" spans="17:59" x14ac:dyDescent="0.35">
      <c r="AL136" s="928"/>
      <c r="AM136" s="1060"/>
      <c r="AN136" s="928"/>
      <c r="AO136" s="928"/>
      <c r="AP136" s="928"/>
      <c r="AQ136" s="928"/>
      <c r="AR136" s="928"/>
      <c r="AS136" s="928"/>
      <c r="AT136" s="928"/>
      <c r="AU136" s="928"/>
      <c r="AV136" s="928"/>
      <c r="AW136" s="928"/>
      <c r="AX136" s="928"/>
      <c r="AY136" s="928"/>
      <c r="AZ136" s="928"/>
      <c r="BA136" s="928"/>
      <c r="BB136" s="928"/>
      <c r="BC136" s="928"/>
      <c r="BD136" s="928"/>
      <c r="BE136" s="1068"/>
      <c r="BF136" s="1068"/>
      <c r="BG136" s="1060"/>
    </row>
    <row r="137" spans="17:59" x14ac:dyDescent="0.35">
      <c r="AL137" s="928"/>
      <c r="AM137" s="1060"/>
      <c r="AN137" s="928"/>
      <c r="AO137" s="928"/>
      <c r="AP137" s="928"/>
      <c r="AQ137" s="928"/>
      <c r="AR137" s="928"/>
      <c r="AS137" s="928"/>
      <c r="AT137" s="928"/>
      <c r="AU137" s="928"/>
      <c r="AV137" s="928"/>
      <c r="AW137" s="928"/>
      <c r="AX137" s="928"/>
      <c r="AY137" s="928"/>
      <c r="AZ137" s="928"/>
      <c r="BA137" s="928"/>
      <c r="BB137" s="928"/>
      <c r="BC137" s="928"/>
      <c r="BD137" s="928"/>
      <c r="BE137" s="1068"/>
      <c r="BF137" s="1070"/>
      <c r="BG137" s="1060"/>
    </row>
    <row r="138" spans="17:59" x14ac:dyDescent="0.35">
      <c r="AL138" s="928"/>
      <c r="AM138" s="1060"/>
      <c r="AN138" s="928"/>
      <c r="AO138" s="928"/>
      <c r="AP138" s="928"/>
      <c r="AQ138" s="928"/>
      <c r="AR138" s="928"/>
      <c r="AS138" s="928"/>
      <c r="AT138" s="928"/>
      <c r="AU138" s="928"/>
      <c r="AV138" s="928"/>
      <c r="AW138" s="928"/>
      <c r="AX138" s="928"/>
      <c r="AY138" s="928"/>
      <c r="AZ138" s="928"/>
      <c r="BA138" s="928"/>
      <c r="BB138" s="928"/>
      <c r="BC138" s="928"/>
      <c r="BD138" s="928"/>
      <c r="BE138" s="1068"/>
      <c r="BF138" s="1070"/>
      <c r="BG138" s="1060"/>
    </row>
    <row r="139" spans="17:59" x14ac:dyDescent="0.35">
      <c r="AL139" s="928"/>
      <c r="AM139" s="1060"/>
      <c r="AN139" s="928"/>
      <c r="AO139" s="928"/>
      <c r="AP139" s="928"/>
      <c r="AQ139" s="928"/>
      <c r="AR139" s="928"/>
      <c r="AS139" s="928"/>
      <c r="AT139" s="928"/>
      <c r="AU139" s="928"/>
      <c r="AV139" s="928"/>
      <c r="AW139" s="928"/>
      <c r="AX139" s="928"/>
      <c r="AY139" s="928"/>
      <c r="AZ139" s="928"/>
      <c r="BA139" s="928"/>
      <c r="BB139" s="928"/>
      <c r="BC139" s="928"/>
      <c r="BD139" s="928"/>
      <c r="BE139" s="1068"/>
      <c r="BF139" s="1070"/>
      <c r="BG139" s="1060"/>
    </row>
    <row r="140" spans="17:59" x14ac:dyDescent="0.35">
      <c r="AL140" s="928"/>
      <c r="AM140" s="1060"/>
      <c r="AN140" s="928"/>
      <c r="AO140" s="928"/>
      <c r="AP140" s="928"/>
      <c r="AQ140" s="928"/>
      <c r="AR140" s="928"/>
      <c r="AS140" s="928"/>
      <c r="AT140" s="928"/>
      <c r="AU140" s="928"/>
      <c r="AV140" s="928"/>
      <c r="AW140" s="928"/>
      <c r="AX140" s="928"/>
      <c r="AY140" s="928"/>
      <c r="AZ140" s="928"/>
      <c r="BA140" s="928"/>
      <c r="BB140" s="928"/>
      <c r="BC140" s="928"/>
      <c r="BD140" s="928"/>
      <c r="BE140" s="1068"/>
      <c r="BF140" s="1068"/>
      <c r="BG140" s="1060"/>
    </row>
    <row r="141" spans="17:59" x14ac:dyDescent="0.35">
      <c r="AL141" s="928"/>
      <c r="AM141" s="1060"/>
      <c r="AN141" s="928"/>
      <c r="AO141" s="928"/>
      <c r="AP141" s="928"/>
      <c r="AQ141" s="928"/>
      <c r="AR141" s="928"/>
      <c r="AS141" s="928"/>
      <c r="AT141" s="928"/>
      <c r="AU141" s="928"/>
      <c r="AV141" s="928"/>
      <c r="AW141" s="928"/>
      <c r="AX141" s="928"/>
      <c r="AY141" s="928"/>
      <c r="AZ141" s="928"/>
      <c r="BA141" s="928"/>
      <c r="BB141" s="928"/>
      <c r="BC141" s="928"/>
      <c r="BD141" s="928"/>
      <c r="BE141" s="1068"/>
      <c r="BF141" s="1070"/>
      <c r="BG141" s="1060"/>
    </row>
    <row r="142" spans="17:59" x14ac:dyDescent="0.35">
      <c r="AL142" s="928"/>
      <c r="AM142" s="1060"/>
      <c r="AN142" s="928"/>
      <c r="AO142" s="928"/>
      <c r="AP142" s="928"/>
      <c r="AQ142" s="928"/>
      <c r="AR142" s="928"/>
      <c r="AS142" s="928"/>
      <c r="AT142" s="928"/>
      <c r="AU142" s="928"/>
      <c r="AV142" s="928"/>
      <c r="AW142" s="928"/>
      <c r="AX142" s="928"/>
      <c r="AY142" s="928"/>
      <c r="AZ142" s="928"/>
      <c r="BA142" s="928"/>
      <c r="BB142" s="928"/>
      <c r="BC142" s="928"/>
      <c r="BD142" s="928"/>
      <c r="BE142" s="1068"/>
      <c r="BF142" s="1068"/>
      <c r="BG142" s="1060"/>
    </row>
    <row r="143" spans="17:59" x14ac:dyDescent="0.35">
      <c r="AL143" s="928"/>
      <c r="AM143" s="1060"/>
      <c r="AN143" s="928"/>
      <c r="AO143" s="928"/>
      <c r="AP143" s="928"/>
      <c r="AQ143" s="928"/>
      <c r="AR143" s="928"/>
      <c r="AS143" s="928"/>
      <c r="AT143" s="928"/>
      <c r="AU143" s="928"/>
      <c r="AV143" s="928"/>
      <c r="AW143" s="928"/>
      <c r="AX143" s="928"/>
      <c r="AY143" s="928"/>
      <c r="AZ143" s="928"/>
      <c r="BA143" s="928"/>
      <c r="BB143" s="928"/>
      <c r="BC143" s="928"/>
      <c r="BD143" s="928"/>
      <c r="BE143" s="1068"/>
      <c r="BF143" s="1068"/>
      <c r="BG143" s="1060"/>
    </row>
    <row r="144" spans="17:59" x14ac:dyDescent="0.35">
      <c r="AL144" s="928"/>
      <c r="AM144" s="1060"/>
      <c r="AN144" s="928"/>
      <c r="AO144" s="928"/>
      <c r="AP144" s="928"/>
      <c r="AQ144" s="928"/>
      <c r="AR144" s="928"/>
      <c r="AS144" s="928"/>
      <c r="AT144" s="928"/>
      <c r="AU144" s="928"/>
      <c r="AV144" s="928"/>
      <c r="AW144" s="928"/>
      <c r="AX144" s="928"/>
      <c r="AY144" s="928"/>
      <c r="AZ144" s="928"/>
      <c r="BA144" s="928"/>
      <c r="BB144" s="928"/>
      <c r="BC144" s="928"/>
      <c r="BD144" s="928"/>
      <c r="BE144" s="928"/>
      <c r="BF144" s="928"/>
      <c r="BG144" s="1060"/>
    </row>
    <row r="145" spans="38:59" x14ac:dyDescent="0.35">
      <c r="AL145" s="928"/>
      <c r="AM145" s="1060"/>
      <c r="AN145" s="928"/>
      <c r="AO145" s="928"/>
      <c r="AP145" s="928"/>
      <c r="AQ145" s="928"/>
      <c r="AR145" s="928"/>
      <c r="AS145" s="928"/>
      <c r="AT145" s="928"/>
      <c r="AU145" s="928"/>
      <c r="AV145" s="928"/>
      <c r="AW145" s="928"/>
      <c r="AX145" s="928"/>
      <c r="AY145" s="928"/>
      <c r="AZ145" s="928"/>
      <c r="BA145" s="928"/>
      <c r="BB145" s="928"/>
      <c r="BC145" s="928"/>
      <c r="BD145" s="928"/>
      <c r="BE145" s="928"/>
      <c r="BF145" s="928"/>
      <c r="BG145" s="1060"/>
    </row>
    <row r="146" spans="38:59" x14ac:dyDescent="0.35">
      <c r="AL146" s="928"/>
      <c r="AM146" s="1060"/>
      <c r="AN146" s="928"/>
      <c r="AO146" s="928"/>
      <c r="AP146" s="928"/>
      <c r="AQ146" s="928"/>
      <c r="AR146" s="928"/>
      <c r="AS146" s="928"/>
      <c r="AT146" s="928"/>
      <c r="AU146" s="928"/>
      <c r="AV146" s="928"/>
      <c r="AW146" s="928"/>
      <c r="AX146" s="928"/>
      <c r="AY146" s="928"/>
      <c r="AZ146" s="928"/>
      <c r="BA146" s="928"/>
      <c r="BB146" s="928"/>
      <c r="BC146" s="928"/>
      <c r="BD146" s="928"/>
      <c r="BE146" s="928"/>
      <c r="BF146" s="928"/>
      <c r="BG146" s="1060"/>
    </row>
    <row r="147" spans="38:59" x14ac:dyDescent="0.35">
      <c r="AL147" s="928"/>
      <c r="AM147" s="1060"/>
      <c r="AN147" s="928"/>
      <c r="AO147" s="928"/>
      <c r="AP147" s="928"/>
      <c r="AQ147" s="928"/>
      <c r="AR147" s="928"/>
      <c r="AS147" s="928"/>
      <c r="AT147" s="928"/>
      <c r="AU147" s="928"/>
      <c r="AV147" s="928"/>
      <c r="AW147" s="928"/>
      <c r="AX147" s="928"/>
      <c r="AY147" s="928"/>
      <c r="AZ147" s="928"/>
      <c r="BA147" s="928"/>
      <c r="BB147" s="928"/>
      <c r="BC147" s="928"/>
      <c r="BD147" s="928"/>
      <c r="BE147" s="928"/>
      <c r="BF147" s="928"/>
      <c r="BG147" s="1060"/>
    </row>
    <row r="148" spans="38:59" x14ac:dyDescent="0.35">
      <c r="AL148" s="928"/>
      <c r="AM148" s="1060"/>
      <c r="AN148" s="928"/>
      <c r="AO148" s="928"/>
      <c r="AP148" s="928"/>
      <c r="AQ148" s="928"/>
      <c r="AR148" s="928"/>
      <c r="AS148" s="928"/>
      <c r="AT148" s="928"/>
      <c r="AU148" s="928"/>
      <c r="AV148" s="928"/>
      <c r="AW148" s="928"/>
      <c r="AX148" s="928"/>
      <c r="AY148" s="928"/>
      <c r="AZ148" s="928"/>
      <c r="BA148" s="928"/>
      <c r="BB148" s="928"/>
      <c r="BC148" s="928"/>
      <c r="BD148" s="928"/>
      <c r="BE148" s="928"/>
      <c r="BF148" s="928"/>
      <c r="BG148" s="1060"/>
    </row>
    <row r="149" spans="38:59" x14ac:dyDescent="0.35">
      <c r="AL149" s="928"/>
      <c r="AM149" s="1060"/>
      <c r="AN149" s="928"/>
      <c r="AO149" s="928"/>
      <c r="AP149" s="928"/>
      <c r="AQ149" s="928"/>
      <c r="AR149" s="928"/>
      <c r="AS149" s="928"/>
      <c r="AT149" s="928"/>
      <c r="AU149" s="928"/>
      <c r="AV149" s="928"/>
      <c r="AW149" s="928"/>
      <c r="AX149" s="928"/>
      <c r="AY149" s="928"/>
      <c r="AZ149" s="928"/>
      <c r="BA149" s="928"/>
      <c r="BB149" s="928"/>
      <c r="BC149" s="928"/>
      <c r="BD149" s="928"/>
      <c r="BE149" s="928"/>
      <c r="BF149" s="928"/>
      <c r="BG149" s="1060"/>
    </row>
    <row r="150" spans="38:59" x14ac:dyDescent="0.35">
      <c r="AL150" s="928"/>
      <c r="AM150" s="1060"/>
      <c r="AN150" s="928"/>
      <c r="AO150" s="928"/>
      <c r="AP150" s="928"/>
      <c r="AQ150" s="928"/>
      <c r="AR150" s="928"/>
      <c r="AS150" s="928"/>
      <c r="AT150" s="928"/>
      <c r="AU150" s="928"/>
      <c r="AV150" s="928"/>
      <c r="AW150" s="928"/>
      <c r="AX150" s="928"/>
      <c r="AY150" s="928"/>
      <c r="AZ150" s="928"/>
      <c r="BA150" s="928"/>
      <c r="BB150" s="928"/>
      <c r="BC150" s="928"/>
      <c r="BD150" s="928"/>
      <c r="BE150" s="928"/>
      <c r="BF150" s="928"/>
      <c r="BG150" s="1060"/>
    </row>
    <row r="151" spans="38:59" x14ac:dyDescent="0.35">
      <c r="AL151" s="928"/>
      <c r="AM151" s="1060"/>
      <c r="AN151" s="928"/>
      <c r="AO151" s="928"/>
      <c r="AP151" s="928"/>
      <c r="AQ151" s="928"/>
      <c r="AR151" s="928"/>
      <c r="AS151" s="928"/>
      <c r="AT151" s="928"/>
      <c r="AU151" s="928"/>
      <c r="AV151" s="928"/>
      <c r="AW151" s="928"/>
      <c r="AX151" s="928"/>
      <c r="AY151" s="928"/>
      <c r="AZ151" s="928"/>
      <c r="BA151" s="928"/>
      <c r="BB151" s="928"/>
      <c r="BC151" s="928"/>
      <c r="BD151" s="928"/>
      <c r="BE151" s="928"/>
      <c r="BF151" s="928"/>
      <c r="BG151" s="1060"/>
    </row>
    <row r="152" spans="38:59" x14ac:dyDescent="0.35">
      <c r="AL152" s="928"/>
      <c r="AM152" s="1060"/>
      <c r="AN152" s="928"/>
      <c r="AO152" s="928"/>
      <c r="AP152" s="928"/>
      <c r="AQ152" s="928"/>
      <c r="AR152" s="928"/>
      <c r="AS152" s="928"/>
      <c r="AT152" s="928"/>
      <c r="AU152" s="928"/>
      <c r="AV152" s="928"/>
      <c r="AW152" s="928"/>
      <c r="AX152" s="928"/>
      <c r="AY152" s="928"/>
      <c r="AZ152" s="928"/>
      <c r="BA152" s="928"/>
      <c r="BB152" s="928"/>
      <c r="BC152" s="928"/>
      <c r="BD152" s="928"/>
      <c r="BE152" s="928"/>
      <c r="BF152" s="928"/>
      <c r="BG152" s="1060"/>
    </row>
    <row r="153" spans="38:59" x14ac:dyDescent="0.35">
      <c r="AL153" s="928"/>
      <c r="AM153" s="1060"/>
      <c r="AN153" s="928"/>
      <c r="AO153" s="928"/>
      <c r="AP153" s="928"/>
      <c r="AQ153" s="928"/>
      <c r="AR153" s="928"/>
      <c r="AS153" s="928"/>
      <c r="AT153" s="928"/>
      <c r="AU153" s="928"/>
      <c r="AV153" s="928"/>
      <c r="AW153" s="928"/>
      <c r="AX153" s="928"/>
      <c r="AY153" s="928"/>
      <c r="AZ153" s="928"/>
      <c r="BA153" s="928"/>
      <c r="BB153" s="928"/>
      <c r="BC153" s="928"/>
      <c r="BD153" s="928"/>
      <c r="BE153" s="928"/>
      <c r="BF153" s="928"/>
      <c r="BG153" s="1060"/>
    </row>
    <row r="154" spans="38:59" x14ac:dyDescent="0.35">
      <c r="AL154" s="928"/>
      <c r="AM154" s="1060"/>
      <c r="AN154" s="928"/>
      <c r="AO154" s="928"/>
      <c r="AP154" s="928"/>
      <c r="AQ154" s="928"/>
      <c r="AR154" s="928"/>
      <c r="AS154" s="928"/>
      <c r="AT154" s="928"/>
      <c r="AU154" s="928"/>
      <c r="AV154" s="928"/>
      <c r="AW154" s="928"/>
      <c r="AX154" s="928"/>
      <c r="AY154" s="928"/>
      <c r="AZ154" s="928"/>
      <c r="BA154" s="928"/>
      <c r="BB154" s="928"/>
      <c r="BC154" s="928"/>
      <c r="BD154" s="928"/>
      <c r="BE154" s="928"/>
      <c r="BF154" s="928"/>
      <c r="BG154" s="1060"/>
    </row>
    <row r="155" spans="38:59" x14ac:dyDescent="0.35">
      <c r="AL155" s="928"/>
      <c r="AM155" s="1060"/>
      <c r="AN155" s="928"/>
      <c r="AO155" s="928"/>
      <c r="AP155" s="928"/>
      <c r="AQ155" s="928"/>
      <c r="AR155" s="928"/>
      <c r="AS155" s="928"/>
      <c r="AT155" s="928"/>
      <c r="AU155" s="928"/>
      <c r="AV155" s="928"/>
      <c r="AW155" s="928"/>
      <c r="AX155" s="928"/>
      <c r="AY155" s="928"/>
      <c r="AZ155" s="928"/>
      <c r="BA155" s="928"/>
      <c r="BB155" s="928"/>
      <c r="BC155" s="928"/>
      <c r="BD155" s="928"/>
      <c r="BE155" s="928"/>
      <c r="BF155" s="928"/>
      <c r="BG155" s="1060"/>
    </row>
    <row r="156" spans="38:59" x14ac:dyDescent="0.35">
      <c r="AL156" s="928"/>
      <c r="AM156" s="1060"/>
      <c r="AN156" s="928"/>
      <c r="AO156" s="928"/>
      <c r="AP156" s="928"/>
      <c r="AQ156" s="928"/>
      <c r="AR156" s="928"/>
      <c r="AS156" s="928"/>
      <c r="AT156" s="928"/>
      <c r="AU156" s="928"/>
      <c r="AV156" s="928"/>
      <c r="AW156" s="928"/>
      <c r="AX156" s="928"/>
      <c r="AY156" s="928"/>
      <c r="AZ156" s="928"/>
      <c r="BA156" s="928"/>
      <c r="BB156" s="928"/>
      <c r="BC156" s="928"/>
      <c r="BD156" s="928"/>
      <c r="BE156" s="928"/>
      <c r="BF156" s="928"/>
      <c r="BG156" s="1060"/>
    </row>
    <row r="157" spans="38:59" x14ac:dyDescent="0.35">
      <c r="AL157" s="928"/>
      <c r="AM157" s="1060"/>
      <c r="AN157" s="928"/>
      <c r="AO157" s="928"/>
      <c r="AP157" s="928"/>
      <c r="AQ157" s="928"/>
      <c r="AR157" s="928"/>
      <c r="AS157" s="928"/>
      <c r="AT157" s="928"/>
      <c r="AU157" s="928"/>
      <c r="AV157" s="928"/>
      <c r="AW157" s="928"/>
      <c r="AX157" s="928"/>
      <c r="AY157" s="928"/>
      <c r="AZ157" s="928"/>
      <c r="BA157" s="928"/>
      <c r="BB157" s="928"/>
      <c r="BC157" s="928"/>
      <c r="BD157" s="928"/>
      <c r="BE157" s="928"/>
      <c r="BF157" s="928"/>
      <c r="BG157" s="1060"/>
    </row>
    <row r="158" spans="38:59" x14ac:dyDescent="0.35">
      <c r="AL158" s="928"/>
      <c r="AM158" s="1060"/>
      <c r="AN158" s="928"/>
      <c r="AO158" s="928"/>
      <c r="AP158" s="928"/>
      <c r="AQ158" s="928"/>
      <c r="AR158" s="928"/>
      <c r="AS158" s="928"/>
      <c r="AT158" s="928"/>
      <c r="AU158" s="928"/>
      <c r="AV158" s="928"/>
      <c r="AW158" s="928"/>
      <c r="AX158" s="928"/>
      <c r="AY158" s="928"/>
      <c r="AZ158" s="928"/>
      <c r="BA158" s="928"/>
      <c r="BB158" s="928"/>
      <c r="BC158" s="928"/>
      <c r="BD158" s="928"/>
      <c r="BE158" s="928"/>
      <c r="BF158" s="928"/>
      <c r="BG158" s="1060"/>
    </row>
    <row r="159" spans="38:59" x14ac:dyDescent="0.35">
      <c r="AL159" s="928"/>
      <c r="AM159" s="1060"/>
      <c r="AN159" s="928"/>
      <c r="AO159" s="928"/>
      <c r="AP159" s="928"/>
      <c r="AQ159" s="928"/>
      <c r="AR159" s="928"/>
      <c r="AS159" s="928"/>
      <c r="AT159" s="928"/>
      <c r="AU159" s="928"/>
      <c r="AV159" s="928"/>
      <c r="AW159" s="928"/>
      <c r="AX159" s="928"/>
      <c r="AY159" s="928"/>
      <c r="AZ159" s="928"/>
      <c r="BA159" s="928"/>
      <c r="BB159" s="928"/>
      <c r="BC159" s="928"/>
      <c r="BD159" s="928"/>
      <c r="BE159" s="928"/>
      <c r="BF159" s="928"/>
      <c r="BG159" s="1060"/>
    </row>
    <row r="160" spans="38:59" x14ac:dyDescent="0.35">
      <c r="AL160" s="928"/>
      <c r="AM160" s="1060"/>
      <c r="AN160" s="928"/>
      <c r="AO160" s="928"/>
      <c r="AP160" s="928"/>
      <c r="AQ160" s="928"/>
      <c r="AR160" s="928"/>
      <c r="AS160" s="928"/>
      <c r="AT160" s="928"/>
      <c r="AU160" s="928"/>
      <c r="AV160" s="928"/>
      <c r="AW160" s="928"/>
      <c r="AX160" s="928"/>
      <c r="AY160" s="928"/>
      <c r="AZ160" s="928"/>
      <c r="BA160" s="928"/>
      <c r="BB160" s="928"/>
      <c r="BC160" s="928"/>
      <c r="BD160" s="928"/>
      <c r="BE160" s="928"/>
      <c r="BF160" s="928"/>
      <c r="BG160" s="1060"/>
    </row>
    <row r="161" spans="38:59" x14ac:dyDescent="0.35">
      <c r="AL161" s="928"/>
      <c r="AM161" s="1060"/>
      <c r="AN161" s="928"/>
      <c r="AO161" s="928"/>
      <c r="AP161" s="928"/>
      <c r="AQ161" s="928"/>
      <c r="AR161" s="928"/>
      <c r="AS161" s="928"/>
      <c r="AT161" s="928"/>
      <c r="AU161" s="928"/>
      <c r="AV161" s="928"/>
      <c r="AW161" s="928"/>
      <c r="AX161" s="928"/>
      <c r="AY161" s="928"/>
      <c r="AZ161" s="928"/>
      <c r="BA161" s="928"/>
      <c r="BB161" s="928"/>
      <c r="BC161" s="928"/>
      <c r="BD161" s="928"/>
      <c r="BE161" s="928"/>
      <c r="BF161" s="928"/>
      <c r="BG161" s="1060"/>
    </row>
    <row r="162" spans="38:59" x14ac:dyDescent="0.35">
      <c r="AL162" s="928"/>
      <c r="AM162" s="1060"/>
      <c r="AN162" s="928"/>
      <c r="AO162" s="928"/>
      <c r="AP162" s="928"/>
      <c r="AQ162" s="928"/>
      <c r="AR162" s="928"/>
      <c r="AS162" s="928"/>
      <c r="AT162" s="928"/>
      <c r="AU162" s="928"/>
      <c r="AV162" s="928"/>
      <c r="AW162" s="928"/>
      <c r="AX162" s="928"/>
      <c r="AY162" s="928"/>
      <c r="AZ162" s="928"/>
      <c r="BA162" s="928"/>
      <c r="BB162" s="928"/>
      <c r="BC162" s="928"/>
      <c r="BD162" s="928"/>
      <c r="BE162" s="928"/>
      <c r="BF162" s="928"/>
      <c r="BG162" s="1060"/>
    </row>
    <row r="163" spans="38:59" x14ac:dyDescent="0.35">
      <c r="AL163" s="928"/>
      <c r="AM163" s="1060"/>
      <c r="AN163" s="928"/>
      <c r="AO163" s="928"/>
      <c r="AP163" s="928"/>
      <c r="AQ163" s="928"/>
      <c r="AR163" s="928"/>
      <c r="AS163" s="928"/>
      <c r="AT163" s="928"/>
      <c r="AU163" s="928"/>
      <c r="AV163" s="928"/>
      <c r="AW163" s="928"/>
      <c r="AX163" s="928"/>
      <c r="AY163" s="928"/>
      <c r="AZ163" s="928"/>
      <c r="BA163" s="928"/>
      <c r="BB163" s="928"/>
      <c r="BC163" s="928"/>
      <c r="BD163" s="928"/>
      <c r="BE163" s="928"/>
      <c r="BF163" s="928"/>
      <c r="BG163" s="1060"/>
    </row>
    <row r="164" spans="38:59" x14ac:dyDescent="0.35">
      <c r="AL164" s="928"/>
      <c r="AM164" s="1060"/>
      <c r="AN164" s="928"/>
      <c r="AO164" s="928"/>
      <c r="AP164" s="928"/>
      <c r="AQ164" s="928"/>
      <c r="AR164" s="928"/>
      <c r="AS164" s="928"/>
      <c r="AT164" s="928"/>
      <c r="AU164" s="928"/>
      <c r="AV164" s="928"/>
      <c r="AW164" s="928"/>
      <c r="AX164" s="928"/>
      <c r="AY164" s="928"/>
      <c r="AZ164" s="928"/>
      <c r="BA164" s="928"/>
      <c r="BB164" s="928"/>
      <c r="BC164" s="928"/>
      <c r="BD164" s="928"/>
      <c r="BE164" s="928"/>
      <c r="BF164" s="928"/>
      <c r="BG164" s="1060"/>
    </row>
    <row r="165" spans="38:59" x14ac:dyDescent="0.35">
      <c r="AL165" s="928"/>
      <c r="AM165" s="1060"/>
      <c r="AN165" s="928"/>
      <c r="AO165" s="928"/>
      <c r="AP165" s="928"/>
      <c r="AQ165" s="928"/>
      <c r="AR165" s="928"/>
      <c r="AS165" s="928"/>
      <c r="AT165" s="928"/>
      <c r="AU165" s="928"/>
      <c r="AV165" s="928"/>
      <c r="AW165" s="928"/>
      <c r="AX165" s="928"/>
      <c r="AY165" s="928"/>
      <c r="AZ165" s="928"/>
      <c r="BA165" s="928"/>
      <c r="BB165" s="928"/>
      <c r="BC165" s="928"/>
      <c r="BD165" s="928"/>
      <c r="BE165" s="928"/>
      <c r="BF165" s="928"/>
      <c r="BG165" s="1060"/>
    </row>
    <row r="166" spans="38:59" x14ac:dyDescent="0.35">
      <c r="AL166" s="928"/>
      <c r="AM166" s="1060"/>
      <c r="AN166" s="928"/>
      <c r="AO166" s="928"/>
      <c r="AP166" s="928"/>
      <c r="AQ166" s="928"/>
      <c r="AR166" s="928"/>
      <c r="AS166" s="928"/>
      <c r="AT166" s="928"/>
      <c r="AU166" s="928"/>
      <c r="AV166" s="928"/>
      <c r="AW166" s="928"/>
      <c r="AX166" s="928"/>
      <c r="AY166" s="928"/>
      <c r="AZ166" s="928"/>
      <c r="BA166" s="928"/>
      <c r="BB166" s="928"/>
      <c r="BC166" s="928"/>
      <c r="BD166" s="928"/>
      <c r="BE166" s="928"/>
      <c r="BF166" s="928"/>
      <c r="BG166" s="1060"/>
    </row>
    <row r="167" spans="38:59" x14ac:dyDescent="0.35">
      <c r="AL167" s="928"/>
      <c r="AM167" s="1060"/>
      <c r="AN167" s="928"/>
      <c r="AO167" s="928"/>
      <c r="AP167" s="928"/>
      <c r="AQ167" s="928"/>
      <c r="AR167" s="928"/>
      <c r="AS167" s="928"/>
      <c r="AT167" s="928"/>
      <c r="AU167" s="928"/>
      <c r="AV167" s="928"/>
      <c r="AW167" s="928"/>
      <c r="AX167" s="928"/>
      <c r="AY167" s="928"/>
      <c r="AZ167" s="928"/>
      <c r="BA167" s="928"/>
      <c r="BB167" s="928"/>
      <c r="BC167" s="928"/>
      <c r="BD167" s="928"/>
      <c r="BE167" s="928"/>
      <c r="BF167" s="928"/>
      <c r="BG167" s="1060"/>
    </row>
    <row r="168" spans="38:59" x14ac:dyDescent="0.35">
      <c r="AL168" s="928"/>
      <c r="AM168" s="1060"/>
      <c r="AN168" s="928"/>
      <c r="AO168" s="928"/>
      <c r="AP168" s="928"/>
      <c r="AQ168" s="928"/>
      <c r="AR168" s="928"/>
      <c r="AS168" s="928"/>
      <c r="AT168" s="928"/>
      <c r="AU168" s="928"/>
      <c r="AV168" s="928"/>
      <c r="AW168" s="928"/>
      <c r="AX168" s="928"/>
      <c r="AY168" s="928"/>
      <c r="AZ168" s="928"/>
      <c r="BA168" s="928"/>
      <c r="BB168" s="928"/>
      <c r="BC168" s="928"/>
      <c r="BD168" s="928"/>
      <c r="BE168" s="928"/>
      <c r="BF168" s="928"/>
      <c r="BG168" s="1060"/>
    </row>
    <row r="169" spans="38:59" x14ac:dyDescent="0.35">
      <c r="AL169" s="928"/>
      <c r="AM169" s="1060"/>
      <c r="AN169" s="928"/>
      <c r="AO169" s="928"/>
      <c r="AP169" s="928"/>
      <c r="AQ169" s="928"/>
      <c r="AR169" s="928"/>
      <c r="AS169" s="928"/>
      <c r="AT169" s="928"/>
      <c r="AU169" s="928"/>
      <c r="AV169" s="928"/>
      <c r="AW169" s="928"/>
      <c r="AX169" s="928"/>
      <c r="AY169" s="928"/>
      <c r="AZ169" s="928"/>
      <c r="BA169" s="928"/>
      <c r="BB169" s="928"/>
      <c r="BC169" s="928"/>
      <c r="BD169" s="928"/>
      <c r="BE169" s="928"/>
      <c r="BF169" s="928"/>
      <c r="BG169" s="1060"/>
    </row>
  </sheetData>
  <sheetProtection sheet="1" objects="1" scenarios="1"/>
  <mergeCells count="938">
    <mergeCell ref="R112:R113"/>
    <mergeCell ref="AB11:AB14"/>
    <mergeCell ref="AG11:AG14"/>
    <mergeCell ref="BJ87:BJ88"/>
    <mergeCell ref="BJ89:BJ91"/>
    <mergeCell ref="BJ92:BJ93"/>
    <mergeCell ref="BJ100:BJ101"/>
    <mergeCell ref="BJ38:BJ39"/>
    <mergeCell ref="BJ41:BJ42"/>
    <mergeCell ref="BJ43:BJ44"/>
    <mergeCell ref="BJ46:BJ47"/>
    <mergeCell ref="BJ54:BJ55"/>
    <mergeCell ref="BJ56:BJ57"/>
    <mergeCell ref="BJ58:BJ59"/>
    <mergeCell ref="BJ60:BJ61"/>
    <mergeCell ref="AN11:AN12"/>
    <mergeCell ref="AO11:AO12"/>
    <mergeCell ref="AQ11:AQ12"/>
    <mergeCell ref="AR11:AR12"/>
    <mergeCell ref="AH100:AH101"/>
    <mergeCell ref="AI100:AI101"/>
    <mergeCell ref="BJ9:BJ24"/>
    <mergeCell ref="BJ31:BJ33"/>
    <mergeCell ref="BJ34:BJ35"/>
    <mergeCell ref="BJ102:BJ103"/>
    <mergeCell ref="BJ104:BJ105"/>
    <mergeCell ref="BJ106:BJ107"/>
    <mergeCell ref="BJ108:BJ109"/>
    <mergeCell ref="BJ110:BJ111"/>
    <mergeCell ref="BJ62:BJ63"/>
    <mergeCell ref="BJ64:BJ65"/>
    <mergeCell ref="BJ66:BJ67"/>
    <mergeCell ref="BJ68:BJ69"/>
    <mergeCell ref="BJ76:BJ77"/>
    <mergeCell ref="BJ78:BJ79"/>
    <mergeCell ref="BJ80:BJ81"/>
    <mergeCell ref="BJ82:BJ83"/>
    <mergeCell ref="BJ85:BJ86"/>
    <mergeCell ref="BJ36:BJ37"/>
    <mergeCell ref="AI92:AI93"/>
    <mergeCell ref="AH78:AH79"/>
    <mergeCell ref="AI78:AI79"/>
    <mergeCell ref="AH80:AH81"/>
    <mergeCell ref="AI80:AI81"/>
    <mergeCell ref="AH82:AH83"/>
    <mergeCell ref="AI82:AI83"/>
    <mergeCell ref="AH85:AH86"/>
    <mergeCell ref="AI85:AI86"/>
    <mergeCell ref="AH87:AH88"/>
    <mergeCell ref="AI87:AI88"/>
    <mergeCell ref="AH66:AH67"/>
    <mergeCell ref="AI60:AI61"/>
    <mergeCell ref="AK68:AK69"/>
    <mergeCell ref="AK66:AK67"/>
    <mergeCell ref="AI68:AI69"/>
    <mergeCell ref="AK62:AK63"/>
    <mergeCell ref="AK64:AK65"/>
    <mergeCell ref="AH89:AH91"/>
    <mergeCell ref="AI89:AI91"/>
    <mergeCell ref="AH56:AH57"/>
    <mergeCell ref="AI56:AI57"/>
    <mergeCell ref="AH58:AH59"/>
    <mergeCell ref="A100:A101"/>
    <mergeCell ref="A102:A103"/>
    <mergeCell ref="A104:A105"/>
    <mergeCell ref="AE97:AE98"/>
    <mergeCell ref="AF97:AF98"/>
    <mergeCell ref="AG97:AG98"/>
    <mergeCell ref="U97:U98"/>
    <mergeCell ref="V97:V98"/>
    <mergeCell ref="W97:W98"/>
    <mergeCell ref="X97:X98"/>
    <mergeCell ref="Y97:Y98"/>
    <mergeCell ref="Z97:Z98"/>
    <mergeCell ref="AA97:AA98"/>
    <mergeCell ref="AB97:AB98"/>
    <mergeCell ref="AC97:AC98"/>
    <mergeCell ref="AH46:AH47"/>
    <mergeCell ref="A87:A88"/>
    <mergeCell ref="A89:A91"/>
    <mergeCell ref="AF73:AF74"/>
    <mergeCell ref="AI58:AI59"/>
    <mergeCell ref="AH60:AH61"/>
    <mergeCell ref="AH62:AH63"/>
    <mergeCell ref="AI62:AI63"/>
    <mergeCell ref="AH64:AH65"/>
    <mergeCell ref="AI64:AI65"/>
    <mergeCell ref="V62:V63"/>
    <mergeCell ref="V64:V65"/>
    <mergeCell ref="V66:V67"/>
    <mergeCell ref="A58:A59"/>
    <mergeCell ref="A60:A61"/>
    <mergeCell ref="A92:A93"/>
    <mergeCell ref="A62:A63"/>
    <mergeCell ref="A64:A65"/>
    <mergeCell ref="A106:A107"/>
    <mergeCell ref="A108:A109"/>
    <mergeCell ref="A110:A111"/>
    <mergeCell ref="AH6:AH7"/>
    <mergeCell ref="AH9:AH10"/>
    <mergeCell ref="AH11:AH12"/>
    <mergeCell ref="AH13:AH14"/>
    <mergeCell ref="AH15:AH16"/>
    <mergeCell ref="AH17:AH18"/>
    <mergeCell ref="AH19:AH20"/>
    <mergeCell ref="AH21:AH22"/>
    <mergeCell ref="AH23:AH24"/>
    <mergeCell ref="A66:A67"/>
    <mergeCell ref="A68:A69"/>
    <mergeCell ref="A76:A77"/>
    <mergeCell ref="A78:A79"/>
    <mergeCell ref="A80:A81"/>
    <mergeCell ref="A82:A83"/>
    <mergeCell ref="A85:A86"/>
    <mergeCell ref="A31:A33"/>
    <mergeCell ref="A34:A35"/>
    <mergeCell ref="A36:A37"/>
    <mergeCell ref="A38:A39"/>
    <mergeCell ref="A41:A42"/>
    <mergeCell ref="A43:A44"/>
    <mergeCell ref="A46:A47"/>
    <mergeCell ref="A54:A55"/>
    <mergeCell ref="A56:A57"/>
    <mergeCell ref="A6:A7"/>
    <mergeCell ref="A9:A10"/>
    <mergeCell ref="A11:A12"/>
    <mergeCell ref="A13:A14"/>
    <mergeCell ref="A15:A16"/>
    <mergeCell ref="A17:A18"/>
    <mergeCell ref="A19:A20"/>
    <mergeCell ref="A21:A22"/>
    <mergeCell ref="A23:A24"/>
    <mergeCell ref="B1:AG1"/>
    <mergeCell ref="AJ1:BI1"/>
    <mergeCell ref="B26:AG26"/>
    <mergeCell ref="AJ26:BI26"/>
    <mergeCell ref="B49:AG49"/>
    <mergeCell ref="AJ49:BI49"/>
    <mergeCell ref="B71:AG71"/>
    <mergeCell ref="AJ71:BI71"/>
    <mergeCell ref="AH31:AH33"/>
    <mergeCell ref="AI31:AI33"/>
    <mergeCell ref="AH34:AH35"/>
    <mergeCell ref="AI34:AI35"/>
    <mergeCell ref="AH36:AH37"/>
    <mergeCell ref="AI36:AI37"/>
    <mergeCell ref="AH38:AH39"/>
    <mergeCell ref="AI38:AI39"/>
    <mergeCell ref="AH41:AH42"/>
    <mergeCell ref="AI41:AI42"/>
    <mergeCell ref="AH43:AH44"/>
    <mergeCell ref="AI43:AI44"/>
    <mergeCell ref="AI46:AI47"/>
    <mergeCell ref="AH54:AH55"/>
    <mergeCell ref="U9:U11"/>
    <mergeCell ref="V60:V61"/>
    <mergeCell ref="AD31:AD33"/>
    <mergeCell ref="B73:B74"/>
    <mergeCell ref="D73:D74"/>
    <mergeCell ref="E73:E74"/>
    <mergeCell ref="F73:N73"/>
    <mergeCell ref="O73:O74"/>
    <mergeCell ref="P73:P74"/>
    <mergeCell ref="Q73:Q74"/>
    <mergeCell ref="S73:S74"/>
    <mergeCell ref="T73:T74"/>
    <mergeCell ref="U73:U74"/>
    <mergeCell ref="V73:V74"/>
    <mergeCell ref="W73:W74"/>
    <mergeCell ref="X73:X74"/>
    <mergeCell ref="Y73:Y74"/>
    <mergeCell ref="Z73:Z74"/>
    <mergeCell ref="AA73:AA74"/>
    <mergeCell ref="AB73:AB74"/>
    <mergeCell ref="AC73:AC74"/>
    <mergeCell ref="AD73:AD74"/>
    <mergeCell ref="BH97:BH98"/>
    <mergeCell ref="BI97:BI98"/>
    <mergeCell ref="AE51:AE52"/>
    <mergeCell ref="AF51:AF52"/>
    <mergeCell ref="AG51:AG52"/>
    <mergeCell ref="AJ51:AJ52"/>
    <mergeCell ref="BH51:BH52"/>
    <mergeCell ref="BI51:BI52"/>
    <mergeCell ref="AG73:AG74"/>
    <mergeCell ref="AF58:AF59"/>
    <mergeCell ref="BH73:BH74"/>
    <mergeCell ref="BI73:BI74"/>
    <mergeCell ref="AH68:AH69"/>
    <mergeCell ref="AI54:AI55"/>
    <mergeCell ref="AJ95:BI95"/>
    <mergeCell ref="V80:V81"/>
    <mergeCell ref="V82:V83"/>
    <mergeCell ref="B97:B98"/>
    <mergeCell ref="D97:D98"/>
    <mergeCell ref="E97:E98"/>
    <mergeCell ref="F97:N97"/>
    <mergeCell ref="O97:O98"/>
    <mergeCell ref="P97:P98"/>
    <mergeCell ref="Q97:Q98"/>
    <mergeCell ref="S97:S98"/>
    <mergeCell ref="T97:T98"/>
    <mergeCell ref="R97:R98"/>
    <mergeCell ref="V85:V86"/>
    <mergeCell ref="V87:V88"/>
    <mergeCell ref="V89:V90"/>
    <mergeCell ref="V92:V93"/>
    <mergeCell ref="U80:U81"/>
    <mergeCell ref="B82:B83"/>
    <mergeCell ref="C82:C83"/>
    <mergeCell ref="D82:D83"/>
    <mergeCell ref="E82:E83"/>
    <mergeCell ref="BH28:BH29"/>
    <mergeCell ref="BI28:BI29"/>
    <mergeCell ref="B28:B29"/>
    <mergeCell ref="D28:D29"/>
    <mergeCell ref="E28:E29"/>
    <mergeCell ref="F28:N28"/>
    <mergeCell ref="O28:O29"/>
    <mergeCell ref="P28:P29"/>
    <mergeCell ref="Q28:Q29"/>
    <mergeCell ref="S28:S29"/>
    <mergeCell ref="T28:T29"/>
    <mergeCell ref="U28:U29"/>
    <mergeCell ref="V28:V29"/>
    <mergeCell ref="W28:W29"/>
    <mergeCell ref="X28:X29"/>
    <mergeCell ref="Y28:Y29"/>
    <mergeCell ref="Z28:Z29"/>
    <mergeCell ref="AA28:AA29"/>
    <mergeCell ref="R28:R29"/>
    <mergeCell ref="V108:V109"/>
    <mergeCell ref="V110:V111"/>
    <mergeCell ref="V112:V113"/>
    <mergeCell ref="AC3:AC4"/>
    <mergeCell ref="AD3:AD4"/>
    <mergeCell ref="AC6:AC7"/>
    <mergeCell ref="AD6:AD7"/>
    <mergeCell ref="AC9:AC10"/>
    <mergeCell ref="AD9:AD10"/>
    <mergeCell ref="AC31:AC32"/>
    <mergeCell ref="AC34:AC35"/>
    <mergeCell ref="AD34:AD35"/>
    <mergeCell ref="AC36:AC37"/>
    <mergeCell ref="AD36:AD37"/>
    <mergeCell ref="AC38:AC39"/>
    <mergeCell ref="AD38:AD39"/>
    <mergeCell ref="AC41:AC42"/>
    <mergeCell ref="AC108:AC109"/>
    <mergeCell ref="AD108:AD109"/>
    <mergeCell ref="AC85:AC86"/>
    <mergeCell ref="AD85:AD86"/>
    <mergeCell ref="AC87:AC88"/>
    <mergeCell ref="Y51:Y52"/>
    <mergeCell ref="Z51:Z52"/>
    <mergeCell ref="V100:V101"/>
    <mergeCell ref="V102:V103"/>
    <mergeCell ref="V104:V105"/>
    <mergeCell ref="Z46:Z47"/>
    <mergeCell ref="AD62:AD63"/>
    <mergeCell ref="AC64:AC65"/>
    <mergeCell ref="AD64:AD65"/>
    <mergeCell ref="AC66:AC67"/>
    <mergeCell ref="AD66:AD67"/>
    <mergeCell ref="AD87:AD88"/>
    <mergeCell ref="AC89:AC90"/>
    <mergeCell ref="AD89:AD90"/>
    <mergeCell ref="AC92:AC93"/>
    <mergeCell ref="AD92:AD93"/>
    <mergeCell ref="AD97:AD98"/>
    <mergeCell ref="V51:V52"/>
    <mergeCell ref="W51:W52"/>
    <mergeCell ref="X51:X52"/>
    <mergeCell ref="AC100:AC101"/>
    <mergeCell ref="AD100:AD101"/>
    <mergeCell ref="Y80:Y81"/>
    <mergeCell ref="V68:V69"/>
    <mergeCell ref="V76:V77"/>
    <mergeCell ref="V78:V79"/>
    <mergeCell ref="V9:V10"/>
    <mergeCell ref="V31:V32"/>
    <mergeCell ref="V34:V35"/>
    <mergeCell ref="V36:V37"/>
    <mergeCell ref="V38:V39"/>
    <mergeCell ref="V41:V42"/>
    <mergeCell ref="V43:V44"/>
    <mergeCell ref="Z6:Z7"/>
    <mergeCell ref="Z9:Z10"/>
    <mergeCell ref="Y36:Y37"/>
    <mergeCell ref="Z36:Z37"/>
    <mergeCell ref="X11:X14"/>
    <mergeCell ref="Y9:Y12"/>
    <mergeCell ref="BK6:BK7"/>
    <mergeCell ref="BL6:BL7"/>
    <mergeCell ref="F7:N7"/>
    <mergeCell ref="B6:B7"/>
    <mergeCell ref="C6:C7"/>
    <mergeCell ref="D6:D7"/>
    <mergeCell ref="E6:E7"/>
    <mergeCell ref="O6:O7"/>
    <mergeCell ref="P6:P7"/>
    <mergeCell ref="S6:S7"/>
    <mergeCell ref="U6:U7"/>
    <mergeCell ref="Y6:Y7"/>
    <mergeCell ref="V6:V7"/>
    <mergeCell ref="AK6:AK7"/>
    <mergeCell ref="AF6:AF7"/>
    <mergeCell ref="AJ6:AJ7"/>
    <mergeCell ref="BJ6:BJ7"/>
    <mergeCell ref="AI6:AI7"/>
    <mergeCell ref="P106:P107"/>
    <mergeCell ref="Z64:Z65"/>
    <mergeCell ref="Z60:Z61"/>
    <mergeCell ref="Z56:Z57"/>
    <mergeCell ref="Z58:Z59"/>
    <mergeCell ref="U82:U83"/>
    <mergeCell ref="Y82:Y83"/>
    <mergeCell ref="U60:U61"/>
    <mergeCell ref="Y60:Y61"/>
    <mergeCell ref="U58:U59"/>
    <mergeCell ref="Y58:Y59"/>
    <mergeCell ref="U78:U79"/>
    <mergeCell ref="Y78:Y79"/>
    <mergeCell ref="U66:U67"/>
    <mergeCell ref="Y66:Y67"/>
    <mergeCell ref="Z80:Z81"/>
    <mergeCell ref="Y56:Y57"/>
    <mergeCell ref="P104:P105"/>
    <mergeCell ref="S104:S105"/>
    <mergeCell ref="U104:U105"/>
    <mergeCell ref="V56:V57"/>
    <mergeCell ref="U64:U65"/>
    <mergeCell ref="Y64:Y65"/>
    <mergeCell ref="V106:V107"/>
    <mergeCell ref="U108:U109"/>
    <mergeCell ref="Y108:Y109"/>
    <mergeCell ref="Z87:Z88"/>
    <mergeCell ref="Z92:Z93"/>
    <mergeCell ref="F93:N93"/>
    <mergeCell ref="Z85:Z86"/>
    <mergeCell ref="F86:N86"/>
    <mergeCell ref="Y89:Y90"/>
    <mergeCell ref="Z89:Z90"/>
    <mergeCell ref="S92:S93"/>
    <mergeCell ref="U92:U93"/>
    <mergeCell ref="Y92:Y93"/>
    <mergeCell ref="O100:O101"/>
    <mergeCell ref="P100:P101"/>
    <mergeCell ref="O102:O103"/>
    <mergeCell ref="P102:P103"/>
    <mergeCell ref="S100:S101"/>
    <mergeCell ref="U100:U101"/>
    <mergeCell ref="Y100:Y101"/>
    <mergeCell ref="S102:S103"/>
    <mergeCell ref="U102:U103"/>
    <mergeCell ref="Y102:Y103"/>
    <mergeCell ref="P85:P86"/>
    <mergeCell ref="S85:S86"/>
    <mergeCell ref="BL9:BL24"/>
    <mergeCell ref="BM9:BM24"/>
    <mergeCell ref="O110:O111"/>
    <mergeCell ref="P110:P111"/>
    <mergeCell ref="S110:S111"/>
    <mergeCell ref="U110:U111"/>
    <mergeCell ref="Y110:Y111"/>
    <mergeCell ref="Z110:Z111"/>
    <mergeCell ref="BL110:BL111"/>
    <mergeCell ref="BM110:BM111"/>
    <mergeCell ref="Y31:Y32"/>
    <mergeCell ref="Z31:Z32"/>
    <mergeCell ref="Z62:Z63"/>
    <mergeCell ref="U62:U63"/>
    <mergeCell ref="Y62:Y63"/>
    <mergeCell ref="Z82:Z83"/>
    <mergeCell ref="Z41:Z42"/>
    <mergeCell ref="Z76:Z77"/>
    <mergeCell ref="Z66:Z67"/>
    <mergeCell ref="S106:S107"/>
    <mergeCell ref="Y104:Y105"/>
    <mergeCell ref="BL34:BL35"/>
    <mergeCell ref="BM34:BM35"/>
    <mergeCell ref="BL31:BL33"/>
    <mergeCell ref="BM31:BM33"/>
    <mergeCell ref="AF46:AF47"/>
    <mergeCell ref="AF54:AF55"/>
    <mergeCell ref="AF56:AF57"/>
    <mergeCell ref="BM56:BM57"/>
    <mergeCell ref="BL46:BL47"/>
    <mergeCell ref="BM46:BM47"/>
    <mergeCell ref="BL38:BL39"/>
    <mergeCell ref="U76:U77"/>
    <mergeCell ref="Y76:Y77"/>
    <mergeCell ref="Z43:Z44"/>
    <mergeCell ref="BM38:BM39"/>
    <mergeCell ref="BL36:BL37"/>
    <mergeCell ref="BM36:BM37"/>
    <mergeCell ref="AK41:AK42"/>
    <mergeCell ref="AK43:AK44"/>
    <mergeCell ref="U68:U69"/>
    <mergeCell ref="Y68:Y69"/>
    <mergeCell ref="V46:V47"/>
    <mergeCell ref="V54:V55"/>
    <mergeCell ref="AA51:AA52"/>
    <mergeCell ref="AB51:AB52"/>
    <mergeCell ref="AC51:AC52"/>
    <mergeCell ref="AD51:AD52"/>
    <mergeCell ref="O82:O83"/>
    <mergeCell ref="F81:N81"/>
    <mergeCell ref="B80:B81"/>
    <mergeCell ref="C80:C81"/>
    <mergeCell ref="D80:D81"/>
    <mergeCell ref="E80:E81"/>
    <mergeCell ref="O80:O81"/>
    <mergeCell ref="P82:P83"/>
    <mergeCell ref="S82:S83"/>
    <mergeCell ref="P80:P81"/>
    <mergeCell ref="S80:S81"/>
    <mergeCell ref="C76:C77"/>
    <mergeCell ref="D76:D77"/>
    <mergeCell ref="E76:E77"/>
    <mergeCell ref="E54:E55"/>
    <mergeCell ref="O54:O55"/>
    <mergeCell ref="B46:B47"/>
    <mergeCell ref="F59:N59"/>
    <mergeCell ref="F57:N57"/>
    <mergeCell ref="E56:E57"/>
    <mergeCell ref="O56:O57"/>
    <mergeCell ref="C58:C59"/>
    <mergeCell ref="D58:D59"/>
    <mergeCell ref="E58:E59"/>
    <mergeCell ref="O58:O59"/>
    <mergeCell ref="C66:C67"/>
    <mergeCell ref="D66:D67"/>
    <mergeCell ref="E66:E67"/>
    <mergeCell ref="O66:O67"/>
    <mergeCell ref="E64:E65"/>
    <mergeCell ref="O64:O65"/>
    <mergeCell ref="F65:N65"/>
    <mergeCell ref="O76:O77"/>
    <mergeCell ref="B51:B52"/>
    <mergeCell ref="D51:D52"/>
    <mergeCell ref="F79:N79"/>
    <mergeCell ref="F77:N77"/>
    <mergeCell ref="F69:N69"/>
    <mergeCell ref="C106:C107"/>
    <mergeCell ref="D106:D107"/>
    <mergeCell ref="E106:E107"/>
    <mergeCell ref="O106:O107"/>
    <mergeCell ref="F90:N90"/>
    <mergeCell ref="F107:N107"/>
    <mergeCell ref="F83:N83"/>
    <mergeCell ref="B95:AG95"/>
    <mergeCell ref="B89:B91"/>
    <mergeCell ref="C89:C91"/>
    <mergeCell ref="D89:D91"/>
    <mergeCell ref="E89:E91"/>
    <mergeCell ref="O89:O91"/>
    <mergeCell ref="F105:N105"/>
    <mergeCell ref="F101:N101"/>
    <mergeCell ref="F103:N103"/>
    <mergeCell ref="E104:E105"/>
    <mergeCell ref="O104:O105"/>
    <mergeCell ref="S76:S77"/>
    <mergeCell ref="P78:P79"/>
    <mergeCell ref="S78:S79"/>
    <mergeCell ref="C41:C42"/>
    <mergeCell ref="D41:D42"/>
    <mergeCell ref="E41:E42"/>
    <mergeCell ref="O41:O42"/>
    <mergeCell ref="P41:P42"/>
    <mergeCell ref="C64:C65"/>
    <mergeCell ref="D64:D65"/>
    <mergeCell ref="B43:B44"/>
    <mergeCell ref="C43:C44"/>
    <mergeCell ref="C56:C57"/>
    <mergeCell ref="D56:D57"/>
    <mergeCell ref="F44:N44"/>
    <mergeCell ref="C62:C63"/>
    <mergeCell ref="D62:D63"/>
    <mergeCell ref="E62:E63"/>
    <mergeCell ref="O43:O44"/>
    <mergeCell ref="P43:P44"/>
    <mergeCell ref="F61:N61"/>
    <mergeCell ref="F63:N63"/>
    <mergeCell ref="C60:C61"/>
    <mergeCell ref="E51:E52"/>
    <mergeCell ref="F51:N51"/>
    <mergeCell ref="O51:O52"/>
    <mergeCell ref="P51:P52"/>
    <mergeCell ref="S15:S16"/>
    <mergeCell ref="F16:N16"/>
    <mergeCell ref="O15:O16"/>
    <mergeCell ref="P15:P16"/>
    <mergeCell ref="P89:P91"/>
    <mergeCell ref="S89:S91"/>
    <mergeCell ref="B87:B88"/>
    <mergeCell ref="C87:C88"/>
    <mergeCell ref="D87:D88"/>
    <mergeCell ref="E87:E88"/>
    <mergeCell ref="O87:O88"/>
    <mergeCell ref="P87:P88"/>
    <mergeCell ref="S87:S88"/>
    <mergeCell ref="C46:C47"/>
    <mergeCell ref="D46:D47"/>
    <mergeCell ref="E46:E47"/>
    <mergeCell ref="O46:O47"/>
    <mergeCell ref="P46:P47"/>
    <mergeCell ref="C54:C55"/>
    <mergeCell ref="D43:D44"/>
    <mergeCell ref="E43:E44"/>
    <mergeCell ref="D54:D55"/>
    <mergeCell ref="B41:B42"/>
    <mergeCell ref="P76:P77"/>
    <mergeCell ref="O78:O79"/>
    <mergeCell ref="P56:P57"/>
    <mergeCell ref="P66:P67"/>
    <mergeCell ref="S66:S67"/>
    <mergeCell ref="P64:P65"/>
    <mergeCell ref="O62:O63"/>
    <mergeCell ref="S62:S63"/>
    <mergeCell ref="S56:S57"/>
    <mergeCell ref="P58:P59"/>
    <mergeCell ref="S58:S59"/>
    <mergeCell ref="S64:S65"/>
    <mergeCell ref="P62:P63"/>
    <mergeCell ref="R73:R74"/>
    <mergeCell ref="T3:T4"/>
    <mergeCell ref="U3:U4"/>
    <mergeCell ref="B3:B4"/>
    <mergeCell ref="D3:D4"/>
    <mergeCell ref="E3:E4"/>
    <mergeCell ref="F3:N3"/>
    <mergeCell ref="O3:O4"/>
    <mergeCell ref="BH3:BH4"/>
    <mergeCell ref="P3:P4"/>
    <mergeCell ref="Q3:Q4"/>
    <mergeCell ref="S3:S4"/>
    <mergeCell ref="V3:V4"/>
    <mergeCell ref="R3:R4"/>
    <mergeCell ref="BI3:BI4"/>
    <mergeCell ref="AE3:AE4"/>
    <mergeCell ref="AF3:AF4"/>
    <mergeCell ref="AG3:AG4"/>
    <mergeCell ref="W3:W4"/>
    <mergeCell ref="X3:X4"/>
    <mergeCell ref="Y3:Y4"/>
    <mergeCell ref="Z3:Z4"/>
    <mergeCell ref="AA3:AA4"/>
    <mergeCell ref="AJ3:AJ4"/>
    <mergeCell ref="AB3:AB4"/>
    <mergeCell ref="B9:B10"/>
    <mergeCell ref="C9:C10"/>
    <mergeCell ref="D9:D10"/>
    <mergeCell ref="E9:E10"/>
    <mergeCell ref="O9:O10"/>
    <mergeCell ref="P9:P10"/>
    <mergeCell ref="F10:N10"/>
    <mergeCell ref="S13:S14"/>
    <mergeCell ref="B13:B14"/>
    <mergeCell ref="C13:C14"/>
    <mergeCell ref="D13:D14"/>
    <mergeCell ref="E13:E14"/>
    <mergeCell ref="O13:O14"/>
    <mergeCell ref="P13:P14"/>
    <mergeCell ref="F14:N14"/>
    <mergeCell ref="S11:S12"/>
    <mergeCell ref="B11:B12"/>
    <mergeCell ref="C11:C12"/>
    <mergeCell ref="D11:D12"/>
    <mergeCell ref="E11:E12"/>
    <mergeCell ref="O11:O12"/>
    <mergeCell ref="P11:P12"/>
    <mergeCell ref="F12:N12"/>
    <mergeCell ref="S9:S10"/>
    <mergeCell ref="B15:B16"/>
    <mergeCell ref="C15:C16"/>
    <mergeCell ref="D15:D16"/>
    <mergeCell ref="E15:E16"/>
    <mergeCell ref="B85:B86"/>
    <mergeCell ref="C85:C86"/>
    <mergeCell ref="D85:D86"/>
    <mergeCell ref="E85:E86"/>
    <mergeCell ref="B92:B93"/>
    <mergeCell ref="C92:C93"/>
    <mergeCell ref="D92:D93"/>
    <mergeCell ref="E92:E93"/>
    <mergeCell ref="D60:D61"/>
    <mergeCell ref="E60:E61"/>
    <mergeCell ref="C68:C69"/>
    <mergeCell ref="D68:D69"/>
    <mergeCell ref="E68:E69"/>
    <mergeCell ref="B78:B79"/>
    <mergeCell ref="C78:C79"/>
    <mergeCell ref="D78:D79"/>
    <mergeCell ref="E78:E79"/>
    <mergeCell ref="B19:B20"/>
    <mergeCell ref="C19:C20"/>
    <mergeCell ref="D19:D20"/>
    <mergeCell ref="B112:B113"/>
    <mergeCell ref="C112:C113"/>
    <mergeCell ref="D112:D113"/>
    <mergeCell ref="E112:E113"/>
    <mergeCell ref="B100:B101"/>
    <mergeCell ref="C100:C101"/>
    <mergeCell ref="D100:D101"/>
    <mergeCell ref="E100:E101"/>
    <mergeCell ref="B104:B105"/>
    <mergeCell ref="C104:C105"/>
    <mergeCell ref="D104:D105"/>
    <mergeCell ref="B102:B103"/>
    <mergeCell ref="C102:C103"/>
    <mergeCell ref="D102:D103"/>
    <mergeCell ref="E102:E103"/>
    <mergeCell ref="B108:B109"/>
    <mergeCell ref="C108:C109"/>
    <mergeCell ref="D108:D109"/>
    <mergeCell ref="E108:E109"/>
    <mergeCell ref="B110:B111"/>
    <mergeCell ref="C110:C111"/>
    <mergeCell ref="D110:D111"/>
    <mergeCell ref="E110:E111"/>
    <mergeCell ref="B106:B107"/>
    <mergeCell ref="F18:N18"/>
    <mergeCell ref="P17:P18"/>
    <mergeCell ref="P23:P24"/>
    <mergeCell ref="O60:O61"/>
    <mergeCell ref="P60:P61"/>
    <mergeCell ref="S60:S61"/>
    <mergeCell ref="O68:O69"/>
    <mergeCell ref="P68:P69"/>
    <mergeCell ref="F42:N42"/>
    <mergeCell ref="P34:P35"/>
    <mergeCell ref="S34:S35"/>
    <mergeCell ref="P38:P39"/>
    <mergeCell ref="S38:S39"/>
    <mergeCell ref="S41:S42"/>
    <mergeCell ref="F47:N47"/>
    <mergeCell ref="F37:N37"/>
    <mergeCell ref="P36:P37"/>
    <mergeCell ref="F32:N32"/>
    <mergeCell ref="S43:S44"/>
    <mergeCell ref="F67:N67"/>
    <mergeCell ref="P19:P20"/>
    <mergeCell ref="S19:S20"/>
    <mergeCell ref="S68:S69"/>
    <mergeCell ref="Q51:Q52"/>
    <mergeCell ref="E19:E20"/>
    <mergeCell ref="O19:O20"/>
    <mergeCell ref="B17:B18"/>
    <mergeCell ref="C17:C18"/>
    <mergeCell ref="D17:D18"/>
    <mergeCell ref="E17:E18"/>
    <mergeCell ref="O17:O18"/>
    <mergeCell ref="S23:S24"/>
    <mergeCell ref="F24:N24"/>
    <mergeCell ref="S21:S22"/>
    <mergeCell ref="F22:N22"/>
    <mergeCell ref="B23:B24"/>
    <mergeCell ref="C23:C24"/>
    <mergeCell ref="D23:D24"/>
    <mergeCell ref="E23:E24"/>
    <mergeCell ref="O23:O24"/>
    <mergeCell ref="B21:B22"/>
    <mergeCell ref="C21:C22"/>
    <mergeCell ref="D21:D22"/>
    <mergeCell ref="E21:E22"/>
    <mergeCell ref="O21:O22"/>
    <mergeCell ref="P21:P22"/>
    <mergeCell ref="F20:N20"/>
    <mergeCell ref="S17:S18"/>
    <mergeCell ref="B34:B35"/>
    <mergeCell ref="C34:C35"/>
    <mergeCell ref="D34:D35"/>
    <mergeCell ref="E34:E35"/>
    <mergeCell ref="O34:O35"/>
    <mergeCell ref="P31:P33"/>
    <mergeCell ref="U31:U32"/>
    <mergeCell ref="B38:B39"/>
    <mergeCell ref="C38:C39"/>
    <mergeCell ref="D38:D39"/>
    <mergeCell ref="E38:E39"/>
    <mergeCell ref="O38:O39"/>
    <mergeCell ref="B36:B37"/>
    <mergeCell ref="C36:C37"/>
    <mergeCell ref="D36:D37"/>
    <mergeCell ref="E36:E37"/>
    <mergeCell ref="O36:O37"/>
    <mergeCell ref="S36:S37"/>
    <mergeCell ref="U36:U37"/>
    <mergeCell ref="B31:B33"/>
    <mergeCell ref="C31:C33"/>
    <mergeCell ref="D31:D33"/>
    <mergeCell ref="E31:E33"/>
    <mergeCell ref="O31:O33"/>
    <mergeCell ref="F112:N112"/>
    <mergeCell ref="O112:O113"/>
    <mergeCell ref="P112:P113"/>
    <mergeCell ref="Q112:Q113"/>
    <mergeCell ref="S112:S113"/>
    <mergeCell ref="U85:U86"/>
    <mergeCell ref="Y85:Y86"/>
    <mergeCell ref="O92:O93"/>
    <mergeCell ref="P92:P93"/>
    <mergeCell ref="F88:N88"/>
    <mergeCell ref="F91:N91"/>
    <mergeCell ref="U87:U88"/>
    <mergeCell ref="Y87:Y88"/>
    <mergeCell ref="U89:U91"/>
    <mergeCell ref="O108:O109"/>
    <mergeCell ref="P108:P109"/>
    <mergeCell ref="T112:T113"/>
    <mergeCell ref="U112:U113"/>
    <mergeCell ref="W112:W113"/>
    <mergeCell ref="U106:U107"/>
    <mergeCell ref="F111:N111"/>
    <mergeCell ref="F109:N109"/>
    <mergeCell ref="S108:S109"/>
    <mergeCell ref="O85:O86"/>
    <mergeCell ref="BH112:BH113"/>
    <mergeCell ref="BI112:BI113"/>
    <mergeCell ref="AE112:AE113"/>
    <mergeCell ref="Z104:Z105"/>
    <mergeCell ref="Z100:Z101"/>
    <mergeCell ref="Z102:Z103"/>
    <mergeCell ref="Z78:Z79"/>
    <mergeCell ref="Z108:Z109"/>
    <mergeCell ref="Z68:Z69"/>
    <mergeCell ref="AJ68:AJ69"/>
    <mergeCell ref="AJ76:AJ77"/>
    <mergeCell ref="AJ78:AJ79"/>
    <mergeCell ref="AJ80:AJ81"/>
    <mergeCell ref="AJ92:AJ93"/>
    <mergeCell ref="AJ100:AJ101"/>
    <mergeCell ref="AJ102:AJ103"/>
    <mergeCell ref="AJ104:AJ105"/>
    <mergeCell ref="AJ82:AJ83"/>
    <mergeCell ref="AC102:AC103"/>
    <mergeCell ref="AD102:AD103"/>
    <mergeCell ref="AC104:AC105"/>
    <mergeCell ref="AD104:AD105"/>
    <mergeCell ref="AC106:AC107"/>
    <mergeCell ref="AD106:AD107"/>
    <mergeCell ref="BM115:BM119"/>
    <mergeCell ref="BL112:BL113"/>
    <mergeCell ref="BM112:BM113"/>
    <mergeCell ref="BL106:BL107"/>
    <mergeCell ref="BM106:BM107"/>
    <mergeCell ref="BL108:BL109"/>
    <mergeCell ref="BM108:BM109"/>
    <mergeCell ref="BL115:BL119"/>
    <mergeCell ref="X112:X113"/>
    <mergeCell ref="Y112:Y113"/>
    <mergeCell ref="Y106:Y107"/>
    <mergeCell ref="Z106:Z107"/>
    <mergeCell ref="AJ108:AJ109"/>
    <mergeCell ref="AJ110:AJ111"/>
    <mergeCell ref="AJ112:AJ113"/>
    <mergeCell ref="AC110:AC111"/>
    <mergeCell ref="AD110:AD111"/>
    <mergeCell ref="AC112:AC113"/>
    <mergeCell ref="AD112:AD113"/>
    <mergeCell ref="AJ106:AJ107"/>
    <mergeCell ref="AG112:AG113"/>
    <mergeCell ref="AF112:AF113"/>
    <mergeCell ref="Z112:Z113"/>
    <mergeCell ref="AA112:AA113"/>
    <mergeCell ref="BM104:BM105"/>
    <mergeCell ref="BM102:BM103"/>
    <mergeCell ref="BL100:BL101"/>
    <mergeCell ref="BM100:BM101"/>
    <mergeCell ref="BL92:BL93"/>
    <mergeCell ref="BM92:BM93"/>
    <mergeCell ref="BL89:BL91"/>
    <mergeCell ref="BM89:BM91"/>
    <mergeCell ref="BL87:BL88"/>
    <mergeCell ref="BM87:BM88"/>
    <mergeCell ref="BL102:BL103"/>
    <mergeCell ref="BL104:BL105"/>
    <mergeCell ref="BM82:BM83"/>
    <mergeCell ref="BM41:BM42"/>
    <mergeCell ref="BL80:BL81"/>
    <mergeCell ref="BM80:BM81"/>
    <mergeCell ref="BL85:BL86"/>
    <mergeCell ref="BM85:BM86"/>
    <mergeCell ref="BL43:BL44"/>
    <mergeCell ref="BM43:BM44"/>
    <mergeCell ref="BL78:BL79"/>
    <mergeCell ref="BM78:BM79"/>
    <mergeCell ref="BL76:BL77"/>
    <mergeCell ref="BM76:BM77"/>
    <mergeCell ref="BL68:BL69"/>
    <mergeCell ref="BM68:BM69"/>
    <mergeCell ref="BL66:BL67"/>
    <mergeCell ref="BM66:BM67"/>
    <mergeCell ref="BL64:BL65"/>
    <mergeCell ref="BM64:BM65"/>
    <mergeCell ref="BL62:BL63"/>
    <mergeCell ref="BM62:BM63"/>
    <mergeCell ref="BL54:BL55"/>
    <mergeCell ref="BM54:BM55"/>
    <mergeCell ref="BL82:BL83"/>
    <mergeCell ref="BL60:BL61"/>
    <mergeCell ref="U41:U42"/>
    <mergeCell ref="Y41:Y42"/>
    <mergeCell ref="U43:U44"/>
    <mergeCell ref="Y43:Y44"/>
    <mergeCell ref="Y46:Y47"/>
    <mergeCell ref="V58:V59"/>
    <mergeCell ref="AD43:AD44"/>
    <mergeCell ref="AC46:AC47"/>
    <mergeCell ref="AD46:AD47"/>
    <mergeCell ref="AC54:AC55"/>
    <mergeCell ref="AD54:AD55"/>
    <mergeCell ref="AC56:AC57"/>
    <mergeCell ref="AD56:AD57"/>
    <mergeCell ref="U56:U57"/>
    <mergeCell ref="U51:U52"/>
    <mergeCell ref="P54:P55"/>
    <mergeCell ref="S54:S55"/>
    <mergeCell ref="U54:U55"/>
    <mergeCell ref="Y54:Y55"/>
    <mergeCell ref="Z54:Z55"/>
    <mergeCell ref="F55:N55"/>
    <mergeCell ref="S46:S47"/>
    <mergeCell ref="U46:U47"/>
    <mergeCell ref="S51:S52"/>
    <mergeCell ref="T51:T52"/>
    <mergeCell ref="R51:R52"/>
    <mergeCell ref="BM60:BM61"/>
    <mergeCell ref="BL58:BL59"/>
    <mergeCell ref="BM58:BM59"/>
    <mergeCell ref="BL56:BL57"/>
    <mergeCell ref="BL41:BL42"/>
    <mergeCell ref="AJ41:AJ42"/>
    <mergeCell ref="AJ43:AJ44"/>
    <mergeCell ref="AJ46:AJ47"/>
    <mergeCell ref="AJ54:AJ55"/>
    <mergeCell ref="AJ56:AJ57"/>
    <mergeCell ref="AJ58:AJ59"/>
    <mergeCell ref="AJ60:AJ61"/>
    <mergeCell ref="AK60:AK61"/>
    <mergeCell ref="AK46:AK47"/>
    <mergeCell ref="AK54:AK55"/>
    <mergeCell ref="AK56:AK57"/>
    <mergeCell ref="AK58:AK59"/>
    <mergeCell ref="U38:U39"/>
    <mergeCell ref="Y38:Y39"/>
    <mergeCell ref="Z38:Z39"/>
    <mergeCell ref="F39:N39"/>
    <mergeCell ref="U34:U35"/>
    <mergeCell ref="Y34:Y35"/>
    <mergeCell ref="Z34:Z35"/>
    <mergeCell ref="F35:N35"/>
    <mergeCell ref="S31:S33"/>
    <mergeCell ref="F33:N33"/>
    <mergeCell ref="AK108:AK109"/>
    <mergeCell ref="AK110:AK111"/>
    <mergeCell ref="AK112:AK113"/>
    <mergeCell ref="AC76:AC77"/>
    <mergeCell ref="AD76:AD77"/>
    <mergeCell ref="AC78:AC79"/>
    <mergeCell ref="AD78:AD79"/>
    <mergeCell ref="AC80:AC81"/>
    <mergeCell ref="AD80:AD81"/>
    <mergeCell ref="AC82:AC83"/>
    <mergeCell ref="AD82:AD83"/>
    <mergeCell ref="AH110:AH111"/>
    <mergeCell ref="AI110:AI111"/>
    <mergeCell ref="AH108:AH109"/>
    <mergeCell ref="AI108:AI109"/>
    <mergeCell ref="AH106:AH107"/>
    <mergeCell ref="AI106:AI107"/>
    <mergeCell ref="AH104:AH105"/>
    <mergeCell ref="AI104:AI105"/>
    <mergeCell ref="AH102:AH103"/>
    <mergeCell ref="AI102:AI103"/>
    <mergeCell ref="AH76:AH77"/>
    <mergeCell ref="AI76:AI77"/>
    <mergeCell ref="AH92:AH93"/>
    <mergeCell ref="AK102:AK103"/>
    <mergeCell ref="AK104:AK105"/>
    <mergeCell ref="AK106:AK107"/>
    <mergeCell ref="AK34:AK35"/>
    <mergeCell ref="AK36:AK37"/>
    <mergeCell ref="AK38:AK39"/>
    <mergeCell ref="AC68:AC69"/>
    <mergeCell ref="AD68:AD69"/>
    <mergeCell ref="AC58:AC59"/>
    <mergeCell ref="AD58:AD59"/>
    <mergeCell ref="AC60:AC61"/>
    <mergeCell ref="AD60:AD61"/>
    <mergeCell ref="AC62:AC63"/>
    <mergeCell ref="AE73:AE74"/>
    <mergeCell ref="AK76:AK77"/>
    <mergeCell ref="AK78:AK79"/>
    <mergeCell ref="AK80:AK81"/>
    <mergeCell ref="AK82:AK83"/>
    <mergeCell ref="AK85:AK86"/>
    <mergeCell ref="AK87:AK88"/>
    <mergeCell ref="AK89:AK91"/>
    <mergeCell ref="AK92:AK93"/>
    <mergeCell ref="AJ85:AJ86"/>
    <mergeCell ref="AJ89:AJ91"/>
    <mergeCell ref="AK31:AK33"/>
    <mergeCell ref="AJ31:AJ33"/>
    <mergeCell ref="AJ34:AJ35"/>
    <mergeCell ref="AJ36:AJ37"/>
    <mergeCell ref="AJ38:AJ39"/>
    <mergeCell ref="AJ9:AJ24"/>
    <mergeCell ref="AJ28:AJ29"/>
    <mergeCell ref="AK9:AK24"/>
    <mergeCell ref="AK100:AK101"/>
    <mergeCell ref="AJ73:AJ74"/>
    <mergeCell ref="AJ97:AJ98"/>
    <mergeCell ref="AA117:AA118"/>
    <mergeCell ref="W115:W117"/>
    <mergeCell ref="AE117:AE118"/>
    <mergeCell ref="AF9:AF13"/>
    <mergeCell ref="AF60:AF61"/>
    <mergeCell ref="AF62:AF63"/>
    <mergeCell ref="AF66:AF67"/>
    <mergeCell ref="AJ66:AJ67"/>
    <mergeCell ref="AJ62:AJ63"/>
    <mergeCell ref="AJ64:AJ65"/>
    <mergeCell ref="AG28:AG29"/>
    <mergeCell ref="AI66:AI67"/>
    <mergeCell ref="AI9:AI24"/>
    <mergeCell ref="AF68:AF69"/>
    <mergeCell ref="AF76:AF77"/>
    <mergeCell ref="AD41:AD42"/>
    <mergeCell ref="AC43:AC44"/>
    <mergeCell ref="AB28:AB29"/>
    <mergeCell ref="AC28:AC29"/>
    <mergeCell ref="AD28:AD29"/>
    <mergeCell ref="AE28:AE29"/>
    <mergeCell ref="AF28:AF29"/>
    <mergeCell ref="AB112:AB113"/>
    <mergeCell ref="AJ87:AJ88"/>
  </mergeCells>
  <hyperlinks>
    <hyperlink ref="D85" r:id="rId1" xr:uid="{00000000-0004-0000-0600-000000000000}"/>
  </hyperlinks>
  <pageMargins left="0.19685039370078741" right="0.19685039370078741" top="0.19685039370078741" bottom="0.19685039370078741" header="7.874015748031496E-2" footer="0"/>
  <pageSetup paperSize="8" scale="35" fitToHeight="0" pageOrder="overThenDown" orientation="landscape" r:id="rId2"/>
  <headerFooter>
    <oddHeader>&amp;F</oddHeader>
  </headerFooter>
  <rowBreaks count="4" manualBreakCount="4">
    <brk id="25" max="16383" man="1"/>
    <brk id="48" max="16383" man="1"/>
    <brk id="70" max="16383" man="1"/>
    <brk id="94" max="16383" man="1"/>
  </rowBreaks>
  <colBreaks count="1" manualBreakCount="1">
    <brk id="34"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fitToPage="1"/>
  </sheetPr>
  <dimension ref="A1:EN48"/>
  <sheetViews>
    <sheetView showGridLines="0" zoomScale="90" zoomScaleNormal="90" zoomScaleSheetLayoutView="40" zoomScalePageLayoutView="60" workbookViewId="0">
      <pane xSplit="3" ySplit="1" topLeftCell="BA2" activePane="bottomRight" state="frozen"/>
      <selection pane="topRight" activeCell="U1" sqref="U1:X1048576"/>
      <selection pane="bottomLeft" activeCell="U1" sqref="U1:X1048576"/>
      <selection pane="bottomRight" activeCell="AH3" sqref="AH3"/>
    </sheetView>
  </sheetViews>
  <sheetFormatPr defaultColWidth="8.90625" defaultRowHeight="14.5" outlineLevelCol="1" x14ac:dyDescent="0.35"/>
  <cols>
    <col min="1" max="1" width="9.90625" style="345" customWidth="1"/>
    <col min="2" max="2" width="8.90625" style="398" customWidth="1"/>
    <col min="3" max="3" width="44.453125" style="345" customWidth="1"/>
    <col min="4" max="4" width="11.08984375" style="345" customWidth="1"/>
    <col min="5" max="6" width="22.08984375" style="345" customWidth="1"/>
    <col min="7" max="7" width="16.90625" style="359" customWidth="1"/>
    <col min="8" max="8" width="33.08984375" style="359" customWidth="1"/>
    <col min="9" max="10" width="16.90625" style="359" customWidth="1"/>
    <col min="11" max="11" width="17.90625" style="359" bestFit="1" customWidth="1"/>
    <col min="12" max="12" width="33.08984375" style="359" customWidth="1"/>
    <col min="13" max="13" width="16.90625" style="359" customWidth="1"/>
    <col min="14" max="14" width="11.08984375" style="345" customWidth="1"/>
    <col min="15" max="20" width="7.90625" style="345" customWidth="1"/>
    <col min="21" max="26" width="7.90625" style="345" hidden="1" customWidth="1" outlineLevel="1"/>
    <col min="27" max="27" width="55.54296875" style="345" customWidth="1" collapsed="1"/>
    <col min="28" max="28" width="22.08984375" style="345" hidden="1" customWidth="1" outlineLevel="1"/>
    <col min="29" max="29" width="33.453125" style="345" hidden="1" customWidth="1" outlineLevel="1"/>
    <col min="30" max="30" width="12.08984375" style="345" hidden="1" customWidth="1" outlineLevel="1"/>
    <col min="31" max="31" width="33.453125" style="399" hidden="1" customWidth="1" outlineLevel="1"/>
    <col min="32" max="32" width="11.08984375" style="398" customWidth="1" collapsed="1"/>
    <col min="33" max="33" width="19.90625" style="345" customWidth="1"/>
    <col min="34" max="61" width="16.90625" style="345" customWidth="1"/>
    <col min="62" max="64" width="15.453125" style="345" customWidth="1"/>
    <col min="65" max="65" width="8.90625" style="289" hidden="1" customWidth="1" outlineLevel="1"/>
    <col min="66" max="113" width="16.90625" style="289" hidden="1" customWidth="1" outlineLevel="1"/>
    <col min="114" max="114" width="8.90625" style="345" collapsed="1"/>
    <col min="115" max="16384" width="8.90625" style="345"/>
  </cols>
  <sheetData>
    <row r="1" spans="1:113" s="348" customFormat="1" ht="84" customHeight="1" x14ac:dyDescent="0.3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298" t="s">
        <v>172</v>
      </c>
      <c r="AJ1" s="298" t="s">
        <v>173</v>
      </c>
      <c r="AK1" s="298" t="s">
        <v>174</v>
      </c>
      <c r="AL1" s="298" t="s">
        <v>175</v>
      </c>
      <c r="AM1" s="298" t="s">
        <v>227</v>
      </c>
      <c r="AN1" s="298" t="s">
        <v>177</v>
      </c>
      <c r="AO1" s="299" t="s">
        <v>178</v>
      </c>
      <c r="AP1" s="299" t="s">
        <v>179</v>
      </c>
      <c r="AQ1" s="299" t="s">
        <v>180</v>
      </c>
      <c r="AR1" s="299" t="s">
        <v>181</v>
      </c>
      <c r="AS1" s="299" t="s">
        <v>182</v>
      </c>
      <c r="AT1" s="299" t="s">
        <v>183</v>
      </c>
      <c r="AU1" s="299" t="s">
        <v>184</v>
      </c>
      <c r="AV1" s="299" t="s">
        <v>185</v>
      </c>
      <c r="AW1" s="299" t="s">
        <v>186</v>
      </c>
      <c r="AX1" s="299" t="s">
        <v>187</v>
      </c>
      <c r="AY1" s="299" t="s">
        <v>188</v>
      </c>
      <c r="AZ1" s="299" t="s">
        <v>189</v>
      </c>
      <c r="BA1" s="299" t="s">
        <v>190</v>
      </c>
      <c r="BB1" s="299" t="s">
        <v>191</v>
      </c>
      <c r="BC1" s="299" t="s">
        <v>192</v>
      </c>
      <c r="BD1" s="299" t="s">
        <v>193</v>
      </c>
      <c r="BE1" s="299" t="s">
        <v>194</v>
      </c>
      <c r="BF1" s="299" t="s">
        <v>195</v>
      </c>
      <c r="BG1" s="299" t="s">
        <v>196</v>
      </c>
      <c r="BH1" s="299" t="s">
        <v>197</v>
      </c>
      <c r="BI1" s="299" t="s">
        <v>198</v>
      </c>
      <c r="BJ1" s="287"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14" x14ac:dyDescent="0.3">
      <c r="A2" s="62" t="s">
        <v>865</v>
      </c>
      <c r="B2" s="18"/>
      <c r="C2" s="19"/>
      <c r="D2" s="19"/>
      <c r="E2" s="19"/>
      <c r="F2" s="20"/>
      <c r="G2" s="53"/>
      <c r="H2" s="53"/>
      <c r="I2" s="21"/>
      <c r="J2" s="21"/>
      <c r="K2" s="21"/>
      <c r="L2" s="21"/>
      <c r="M2" s="201"/>
      <c r="N2" s="199"/>
      <c r="O2" s="19"/>
      <c r="P2" s="19"/>
      <c r="Q2" s="19"/>
      <c r="R2" s="19"/>
      <c r="S2" s="19"/>
      <c r="T2" s="19"/>
      <c r="U2" s="19"/>
      <c r="V2" s="19"/>
      <c r="W2" s="19"/>
      <c r="X2" s="19"/>
      <c r="Y2" s="19"/>
      <c r="Z2" s="19"/>
      <c r="AA2" s="20"/>
      <c r="AB2" s="62"/>
      <c r="AC2" s="18"/>
      <c r="AD2" s="18"/>
      <c r="AE2" s="212"/>
      <c r="AF2" s="17"/>
      <c r="AG2" s="209"/>
      <c r="AH2" s="205"/>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M2" s="356"/>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row>
    <row r="3" spans="1:113" ht="107.15" customHeight="1" x14ac:dyDescent="0.3">
      <c r="A3" s="55" t="s">
        <v>866</v>
      </c>
      <c r="B3" s="90" t="s">
        <v>867</v>
      </c>
      <c r="C3" s="6" t="s">
        <v>868</v>
      </c>
      <c r="D3" s="145" t="s">
        <v>443</v>
      </c>
      <c r="E3" s="1" t="s">
        <v>869</v>
      </c>
      <c r="F3" s="109" t="s">
        <v>870</v>
      </c>
      <c r="G3" s="111">
        <f>'[1]Costs (Arup)'!D11*('[1]Costs (Arup)'!F11*64)</f>
        <v>1073160</v>
      </c>
      <c r="H3" s="114" t="s">
        <v>871</v>
      </c>
      <c r="I3" s="57">
        <v>0</v>
      </c>
      <c r="J3" s="57">
        <f>G3-I3</f>
        <v>1073160</v>
      </c>
      <c r="K3" s="112">
        <f>J3</f>
        <v>1073160</v>
      </c>
      <c r="L3" s="147" t="s">
        <v>872</v>
      </c>
      <c r="M3" s="389">
        <f>J3-K3</f>
        <v>0</v>
      </c>
      <c r="N3" s="100" t="s">
        <v>265</v>
      </c>
      <c r="O3" s="9"/>
      <c r="P3" s="98"/>
      <c r="Q3" s="98"/>
      <c r="R3" s="9"/>
      <c r="S3" s="9"/>
      <c r="T3" s="103"/>
      <c r="U3" s="245">
        <f>[1]Phasing!D22</f>
        <v>0</v>
      </c>
      <c r="V3" s="242">
        <f>[1]Phasing!E22</f>
        <v>0.33333333333333331</v>
      </c>
      <c r="W3" s="242">
        <f>[1]Phasing!F22</f>
        <v>0.66666666666666663</v>
      </c>
      <c r="X3" s="245">
        <f>[1]Phasing!G22</f>
        <v>0</v>
      </c>
      <c r="Y3" s="245">
        <f>[1]Phasing!H22</f>
        <v>0</v>
      </c>
      <c r="Z3" s="246">
        <f>[1]Phasing!I22</f>
        <v>0</v>
      </c>
      <c r="AA3" s="96" t="s">
        <v>873</v>
      </c>
      <c r="AB3" s="1" t="s">
        <v>239</v>
      </c>
      <c r="AC3" s="1" t="s">
        <v>874</v>
      </c>
      <c r="AD3" s="274" t="s">
        <v>241</v>
      </c>
      <c r="AE3" s="90"/>
      <c r="AF3" s="97" t="s">
        <v>242</v>
      </c>
      <c r="AG3" s="94" t="s">
        <v>875</v>
      </c>
      <c r="AH3" s="164">
        <f>K3</f>
        <v>1073160</v>
      </c>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46"/>
      <c r="BJ3" s="46"/>
      <c r="BK3" s="288" t="b">
        <f t="shared" ref="BK3:BK14" si="0">K3=SUM(AH3:BJ3)</f>
        <v>1</v>
      </c>
      <c r="BM3" s="356"/>
      <c r="BN3" s="360">
        <f t="shared" ref="BN3:BN33" si="1">$U3*AH3</f>
        <v>0</v>
      </c>
      <c r="BO3" s="360">
        <f t="shared" ref="BO3:BO33" si="2">$V3*AH3</f>
        <v>357720</v>
      </c>
      <c r="BP3" s="360">
        <f t="shared" ref="BP3:BP33" si="3">$W3*AH3</f>
        <v>715440</v>
      </c>
      <c r="BQ3" s="360">
        <f t="shared" ref="BQ3:BQ33" si="4">$X3*AH3</f>
        <v>0</v>
      </c>
      <c r="BR3" s="360">
        <f t="shared" ref="BR3:BR33" si="5">$Y3*AH3</f>
        <v>0</v>
      </c>
      <c r="BS3" s="360">
        <f t="shared" ref="BS3:BS33" si="6">$Z3*AH3</f>
        <v>0</v>
      </c>
      <c r="BT3" s="360">
        <f t="shared" ref="BT3:BT33" si="7">$U3*AI3</f>
        <v>0</v>
      </c>
      <c r="BU3" s="360">
        <f t="shared" ref="BU3:BU33" si="8">$V3*AI3</f>
        <v>0</v>
      </c>
      <c r="BV3" s="360">
        <f t="shared" ref="BV3:BV33" si="9">$W3*AI3</f>
        <v>0</v>
      </c>
      <c r="BW3" s="360">
        <f t="shared" ref="BW3:BW33" si="10">$X3*AI3</f>
        <v>0</v>
      </c>
      <c r="BX3" s="360">
        <f t="shared" ref="BX3:BX33" si="11">$Y3*AI3</f>
        <v>0</v>
      </c>
      <c r="BY3" s="360">
        <f t="shared" ref="BY3:BY33" si="12">$Z3*AI3</f>
        <v>0</v>
      </c>
      <c r="BZ3" s="360">
        <f t="shared" ref="BZ3:BZ33" si="13">$U3*AJ3</f>
        <v>0</v>
      </c>
      <c r="CA3" s="360">
        <f t="shared" ref="CA3:CA33" si="14">$V3*AJ3</f>
        <v>0</v>
      </c>
      <c r="CB3" s="360">
        <f t="shared" ref="CB3:CB33" si="15">$W3*AJ3</f>
        <v>0</v>
      </c>
      <c r="CC3" s="360">
        <f t="shared" ref="CC3:CC33" si="16">$X3*AJ3</f>
        <v>0</v>
      </c>
      <c r="CD3" s="360">
        <f t="shared" ref="CD3:CD33" si="17">$Y3*AJ3</f>
        <v>0</v>
      </c>
      <c r="CE3" s="360">
        <f t="shared" ref="CE3:CE33" si="18">$Z3*AJ3</f>
        <v>0</v>
      </c>
      <c r="CF3" s="360">
        <f t="shared" ref="CF3:CF33" si="19">$U3*AK3</f>
        <v>0</v>
      </c>
      <c r="CG3" s="360">
        <f t="shared" ref="CG3:CG33" si="20">$V3*AK3</f>
        <v>0</v>
      </c>
      <c r="CH3" s="360">
        <f t="shared" ref="CH3:CH33" si="21">$W3*AK3</f>
        <v>0</v>
      </c>
      <c r="CI3" s="360">
        <f t="shared" ref="CI3:CI33" si="22">$X3*AK3</f>
        <v>0</v>
      </c>
      <c r="CJ3" s="360">
        <f t="shared" ref="CJ3:CJ33" si="23">$Y3*AK3</f>
        <v>0</v>
      </c>
      <c r="CK3" s="360">
        <f t="shared" ref="CK3:CK33" si="24">$Z3*AK3</f>
        <v>0</v>
      </c>
      <c r="CL3" s="360">
        <f t="shared" ref="CL3:CL33" si="25">$U3*AL3</f>
        <v>0</v>
      </c>
      <c r="CM3" s="360">
        <f t="shared" ref="CM3:CM33" si="26">$V3*AL3</f>
        <v>0</v>
      </c>
      <c r="CN3" s="360">
        <f t="shared" ref="CN3:CN33" si="27">$W3*AL3</f>
        <v>0</v>
      </c>
      <c r="CO3" s="360">
        <f t="shared" ref="CO3:CO33" si="28">$X3*AL3</f>
        <v>0</v>
      </c>
      <c r="CP3" s="360">
        <f t="shared" ref="CP3:CP33" si="29">$Y3*AL3</f>
        <v>0</v>
      </c>
      <c r="CQ3" s="360">
        <f t="shared" ref="CQ3:CQ33" si="30">$Z3*AL3</f>
        <v>0</v>
      </c>
      <c r="CR3" s="360">
        <f t="shared" ref="CR3:CR33" si="31">$U3*AM3</f>
        <v>0</v>
      </c>
      <c r="CS3" s="360">
        <f t="shared" ref="CS3:CS33" si="32">$V3*AM3</f>
        <v>0</v>
      </c>
      <c r="CT3" s="360">
        <f t="shared" ref="CT3:CT33" si="33">$W3*AM3</f>
        <v>0</v>
      </c>
      <c r="CU3" s="360">
        <f t="shared" ref="CU3:CU33" si="34">$X3*AM3</f>
        <v>0</v>
      </c>
      <c r="CV3" s="360">
        <f t="shared" ref="CV3:CV33" si="35">$Y3*AM3</f>
        <v>0</v>
      </c>
      <c r="CW3" s="360">
        <f t="shared" ref="CW3:CW33" si="36">$Z3*AM3</f>
        <v>0</v>
      </c>
      <c r="CX3" s="360">
        <f t="shared" ref="CX3:CX33" si="37">$U3*AN3</f>
        <v>0</v>
      </c>
      <c r="CY3" s="360">
        <f t="shared" ref="CY3:CY33" si="38">$V3*AN3</f>
        <v>0</v>
      </c>
      <c r="CZ3" s="360">
        <f t="shared" ref="CZ3:CZ33" si="39">$W3*AN3</f>
        <v>0</v>
      </c>
      <c r="DA3" s="360">
        <f t="shared" ref="DA3:DA33" si="40">$X3*AN3</f>
        <v>0</v>
      </c>
      <c r="DB3" s="360">
        <f t="shared" ref="DB3:DB33" si="41">$Y3*AN3</f>
        <v>0</v>
      </c>
      <c r="DC3" s="360">
        <f t="shared" ref="DC3:DC33" si="42">$Z3*AN3</f>
        <v>0</v>
      </c>
      <c r="DD3" s="360">
        <f t="shared" ref="DD3:DD33" si="43">$U3*AO3</f>
        <v>0</v>
      </c>
      <c r="DE3" s="360">
        <f t="shared" ref="DE3:DE33" si="44">$V3*AO3</f>
        <v>0</v>
      </c>
      <c r="DF3" s="360">
        <f t="shared" ref="DF3:DF33" si="45">$W3*AO3</f>
        <v>0</v>
      </c>
      <c r="DG3" s="360">
        <f t="shared" ref="DG3:DG33" si="46">$X3*AO3</f>
        <v>0</v>
      </c>
      <c r="DH3" s="360">
        <f t="shared" ref="DH3:DH33" si="47">$Y3*AO3</f>
        <v>0</v>
      </c>
      <c r="DI3" s="360">
        <f t="shared" ref="DI3:DI33" si="48">$Z3*AO3</f>
        <v>0</v>
      </c>
    </row>
    <row r="4" spans="1:113" ht="84" x14ac:dyDescent="0.3">
      <c r="A4" s="55" t="s">
        <v>876</v>
      </c>
      <c r="B4" s="90" t="s">
        <v>877</v>
      </c>
      <c r="C4" s="6" t="s">
        <v>878</v>
      </c>
      <c r="D4" s="145" t="s">
        <v>443</v>
      </c>
      <c r="E4" s="1" t="s">
        <v>869</v>
      </c>
      <c r="F4" s="109" t="s">
        <v>870</v>
      </c>
      <c r="G4" s="111">
        <f>'[1]Costs (Arup)'!D11*('[1]Costs (Arup)'!F11*79)</f>
        <v>1324681.875</v>
      </c>
      <c r="H4" s="114" t="s">
        <v>871</v>
      </c>
      <c r="I4" s="57">
        <v>0</v>
      </c>
      <c r="J4" s="57">
        <f t="shared" ref="J4:J14" si="49">G4-I4</f>
        <v>1324681.875</v>
      </c>
      <c r="K4" s="112">
        <f t="shared" ref="K4:K14" si="50">J4</f>
        <v>1324681.875</v>
      </c>
      <c r="L4" s="147" t="s">
        <v>872</v>
      </c>
      <c r="M4" s="389">
        <f t="shared" ref="M4:M14" si="51">J4-K4</f>
        <v>0</v>
      </c>
      <c r="N4" s="100" t="s">
        <v>402</v>
      </c>
      <c r="O4" s="98"/>
      <c r="P4" s="98"/>
      <c r="Q4" s="98"/>
      <c r="R4" s="9"/>
      <c r="S4" s="9"/>
      <c r="T4" s="103"/>
      <c r="U4" s="242">
        <f>[1]Phasing!D24</f>
        <v>4.7619047619047616E-2</v>
      </c>
      <c r="V4" s="242">
        <f>[1]Phasing!E24</f>
        <v>0.47619047619047616</v>
      </c>
      <c r="W4" s="242">
        <f>[1]Phasing!F24</f>
        <v>0.47619047619047616</v>
      </c>
      <c r="X4" s="245">
        <f>[1]Phasing!G24</f>
        <v>0</v>
      </c>
      <c r="Y4" s="245">
        <f>[1]Phasing!H24</f>
        <v>0</v>
      </c>
      <c r="Z4" s="246">
        <f>[1]Phasing!I24</f>
        <v>0</v>
      </c>
      <c r="AA4" s="96" t="s">
        <v>879</v>
      </c>
      <c r="AB4" s="1" t="s">
        <v>239</v>
      </c>
      <c r="AC4" s="1" t="s">
        <v>874</v>
      </c>
      <c r="AD4" s="274" t="s">
        <v>241</v>
      </c>
      <c r="AE4" s="90"/>
      <c r="AF4" s="97" t="s">
        <v>242</v>
      </c>
      <c r="AG4" s="94" t="s">
        <v>880</v>
      </c>
      <c r="AH4" s="206"/>
      <c r="AI4" s="149"/>
      <c r="AJ4" s="79">
        <f>K4</f>
        <v>1324681.875</v>
      </c>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46"/>
      <c r="BJ4" s="46"/>
      <c r="BK4" s="288" t="b">
        <f t="shared" si="0"/>
        <v>1</v>
      </c>
      <c r="BM4" s="356"/>
      <c r="BN4" s="360">
        <f t="shared" si="1"/>
        <v>0</v>
      </c>
      <c r="BO4" s="360">
        <f t="shared" si="2"/>
        <v>0</v>
      </c>
      <c r="BP4" s="360">
        <f t="shared" si="3"/>
        <v>0</v>
      </c>
      <c r="BQ4" s="360">
        <f t="shared" si="4"/>
        <v>0</v>
      </c>
      <c r="BR4" s="360">
        <f t="shared" si="5"/>
        <v>0</v>
      </c>
      <c r="BS4" s="360">
        <f t="shared" si="6"/>
        <v>0</v>
      </c>
      <c r="BT4" s="360">
        <f t="shared" si="7"/>
        <v>0</v>
      </c>
      <c r="BU4" s="360">
        <f t="shared" si="8"/>
        <v>0</v>
      </c>
      <c r="BV4" s="360">
        <f t="shared" si="9"/>
        <v>0</v>
      </c>
      <c r="BW4" s="360">
        <f t="shared" si="10"/>
        <v>0</v>
      </c>
      <c r="BX4" s="360">
        <f t="shared" si="11"/>
        <v>0</v>
      </c>
      <c r="BY4" s="360">
        <f t="shared" si="12"/>
        <v>0</v>
      </c>
      <c r="BZ4" s="360">
        <f t="shared" si="13"/>
        <v>63080.089285714283</v>
      </c>
      <c r="CA4" s="360">
        <f t="shared" si="14"/>
        <v>630800.89285714284</v>
      </c>
      <c r="CB4" s="360">
        <f t="shared" si="15"/>
        <v>630800.89285714284</v>
      </c>
      <c r="CC4" s="360">
        <f t="shared" si="16"/>
        <v>0</v>
      </c>
      <c r="CD4" s="360">
        <f t="shared" si="17"/>
        <v>0</v>
      </c>
      <c r="CE4" s="360">
        <f t="shared" si="18"/>
        <v>0</v>
      </c>
      <c r="CF4" s="360">
        <f t="shared" si="19"/>
        <v>0</v>
      </c>
      <c r="CG4" s="360">
        <f t="shared" si="20"/>
        <v>0</v>
      </c>
      <c r="CH4" s="360">
        <f t="shared" si="21"/>
        <v>0</v>
      </c>
      <c r="CI4" s="360">
        <f t="shared" si="22"/>
        <v>0</v>
      </c>
      <c r="CJ4" s="360">
        <f t="shared" si="23"/>
        <v>0</v>
      </c>
      <c r="CK4" s="360">
        <f t="shared" si="24"/>
        <v>0</v>
      </c>
      <c r="CL4" s="360">
        <f t="shared" si="25"/>
        <v>0</v>
      </c>
      <c r="CM4" s="360">
        <f t="shared" si="26"/>
        <v>0</v>
      </c>
      <c r="CN4" s="360">
        <f t="shared" si="27"/>
        <v>0</v>
      </c>
      <c r="CO4" s="360">
        <f t="shared" si="28"/>
        <v>0</v>
      </c>
      <c r="CP4" s="360">
        <f t="shared" si="29"/>
        <v>0</v>
      </c>
      <c r="CQ4" s="360">
        <f t="shared" si="30"/>
        <v>0</v>
      </c>
      <c r="CR4" s="360">
        <f t="shared" si="31"/>
        <v>0</v>
      </c>
      <c r="CS4" s="360">
        <f t="shared" si="32"/>
        <v>0</v>
      </c>
      <c r="CT4" s="360">
        <f t="shared" si="33"/>
        <v>0</v>
      </c>
      <c r="CU4" s="360">
        <f t="shared" si="34"/>
        <v>0</v>
      </c>
      <c r="CV4" s="360">
        <f t="shared" si="35"/>
        <v>0</v>
      </c>
      <c r="CW4" s="360">
        <f t="shared" si="36"/>
        <v>0</v>
      </c>
      <c r="CX4" s="360">
        <f t="shared" si="37"/>
        <v>0</v>
      </c>
      <c r="CY4" s="360">
        <f t="shared" si="38"/>
        <v>0</v>
      </c>
      <c r="CZ4" s="360">
        <f t="shared" si="39"/>
        <v>0</v>
      </c>
      <c r="DA4" s="360">
        <f t="shared" si="40"/>
        <v>0</v>
      </c>
      <c r="DB4" s="360">
        <f t="shared" si="41"/>
        <v>0</v>
      </c>
      <c r="DC4" s="360">
        <f t="shared" si="42"/>
        <v>0</v>
      </c>
      <c r="DD4" s="360">
        <f t="shared" si="43"/>
        <v>0</v>
      </c>
      <c r="DE4" s="360">
        <f t="shared" si="44"/>
        <v>0</v>
      </c>
      <c r="DF4" s="360">
        <f t="shared" si="45"/>
        <v>0</v>
      </c>
      <c r="DG4" s="360">
        <f t="shared" si="46"/>
        <v>0</v>
      </c>
      <c r="DH4" s="360">
        <f t="shared" si="47"/>
        <v>0</v>
      </c>
      <c r="DI4" s="360">
        <f t="shared" si="48"/>
        <v>0</v>
      </c>
    </row>
    <row r="5" spans="1:113" ht="70" x14ac:dyDescent="0.3">
      <c r="A5" s="55" t="s">
        <v>881</v>
      </c>
      <c r="B5" s="90" t="s">
        <v>882</v>
      </c>
      <c r="C5" s="6" t="s">
        <v>883</v>
      </c>
      <c r="D5" s="145" t="s">
        <v>443</v>
      </c>
      <c r="E5" s="1" t="s">
        <v>869</v>
      </c>
      <c r="F5" s="109" t="s">
        <v>870</v>
      </c>
      <c r="G5" s="111">
        <f>'[1]Costs (Arup)'!D11*('[1]Costs (Arup)'!F11*158)</f>
        <v>2649363.75</v>
      </c>
      <c r="H5" s="114" t="s">
        <v>871</v>
      </c>
      <c r="I5" s="57">
        <v>0</v>
      </c>
      <c r="J5" s="57">
        <f t="shared" si="49"/>
        <v>2649363.75</v>
      </c>
      <c r="K5" s="112">
        <f t="shared" si="50"/>
        <v>2649363.75</v>
      </c>
      <c r="L5" s="147" t="s">
        <v>872</v>
      </c>
      <c r="M5" s="389">
        <f t="shared" si="51"/>
        <v>0</v>
      </c>
      <c r="N5" s="100" t="s">
        <v>402</v>
      </c>
      <c r="O5" s="98"/>
      <c r="P5" s="98"/>
      <c r="Q5" s="98"/>
      <c r="R5" s="9"/>
      <c r="S5" s="9"/>
      <c r="T5" s="103"/>
      <c r="U5" s="242">
        <f>[1]Phasing!D27</f>
        <v>4.7619047619047616E-2</v>
      </c>
      <c r="V5" s="242">
        <f>[1]Phasing!E27</f>
        <v>0.47619047619047616</v>
      </c>
      <c r="W5" s="242">
        <f>[1]Phasing!F27</f>
        <v>0.47619047619047616</v>
      </c>
      <c r="X5" s="245">
        <f>[1]Phasing!G27</f>
        <v>0</v>
      </c>
      <c r="Y5" s="245">
        <f>[1]Phasing!H27</f>
        <v>0</v>
      </c>
      <c r="Z5" s="246">
        <f>[1]Phasing!I27</f>
        <v>0</v>
      </c>
      <c r="AA5" s="96" t="s">
        <v>884</v>
      </c>
      <c r="AB5" s="1" t="s">
        <v>239</v>
      </c>
      <c r="AC5" s="1" t="s">
        <v>874</v>
      </c>
      <c r="AD5" s="274" t="s">
        <v>241</v>
      </c>
      <c r="AE5" s="90"/>
      <c r="AF5" s="97" t="s">
        <v>242</v>
      </c>
      <c r="AG5" s="94" t="s">
        <v>880</v>
      </c>
      <c r="AH5" s="206"/>
      <c r="AI5" s="149"/>
      <c r="AJ5" s="149"/>
      <c r="AK5" s="79">
        <f>$K$5*'[1]Apportionment %'!F5</f>
        <v>1000017.0936623012</v>
      </c>
      <c r="AL5" s="79">
        <f>$K$5*'[1]Apportionment %'!G5</f>
        <v>1649346.6563376989</v>
      </c>
      <c r="AM5" s="149"/>
      <c r="AN5" s="149"/>
      <c r="AO5" s="149"/>
      <c r="AP5" s="149"/>
      <c r="AQ5" s="149"/>
      <c r="AR5" s="149"/>
      <c r="AS5" s="149"/>
      <c r="AT5" s="149"/>
      <c r="AU5" s="149"/>
      <c r="AV5" s="149"/>
      <c r="AW5" s="149"/>
      <c r="AX5" s="149"/>
      <c r="AY5" s="149"/>
      <c r="AZ5" s="149"/>
      <c r="BA5" s="149"/>
      <c r="BB5" s="149"/>
      <c r="BC5" s="149"/>
      <c r="BD5" s="149"/>
      <c r="BE5" s="149"/>
      <c r="BF5" s="149"/>
      <c r="BG5" s="149"/>
      <c r="BH5" s="149"/>
      <c r="BI5" s="46"/>
      <c r="BJ5" s="46"/>
      <c r="BK5" s="288" t="b">
        <f t="shared" si="0"/>
        <v>1</v>
      </c>
      <c r="BM5" s="356"/>
      <c r="BN5" s="360">
        <f t="shared" si="1"/>
        <v>0</v>
      </c>
      <c r="BO5" s="360">
        <f t="shared" si="2"/>
        <v>0</v>
      </c>
      <c r="BP5" s="360">
        <f t="shared" si="3"/>
        <v>0</v>
      </c>
      <c r="BQ5" s="360">
        <f t="shared" si="4"/>
        <v>0</v>
      </c>
      <c r="BR5" s="360">
        <f t="shared" si="5"/>
        <v>0</v>
      </c>
      <c r="BS5" s="360">
        <f t="shared" si="6"/>
        <v>0</v>
      </c>
      <c r="BT5" s="360">
        <f t="shared" si="7"/>
        <v>0</v>
      </c>
      <c r="BU5" s="360">
        <f t="shared" si="8"/>
        <v>0</v>
      </c>
      <c r="BV5" s="360">
        <f t="shared" si="9"/>
        <v>0</v>
      </c>
      <c r="BW5" s="360">
        <f t="shared" si="10"/>
        <v>0</v>
      </c>
      <c r="BX5" s="360">
        <f t="shared" si="11"/>
        <v>0</v>
      </c>
      <c r="BY5" s="360">
        <f t="shared" si="12"/>
        <v>0</v>
      </c>
      <c r="BZ5" s="360">
        <f t="shared" si="13"/>
        <v>0</v>
      </c>
      <c r="CA5" s="360">
        <f t="shared" si="14"/>
        <v>0</v>
      </c>
      <c r="CB5" s="360">
        <f t="shared" si="15"/>
        <v>0</v>
      </c>
      <c r="CC5" s="360">
        <f t="shared" si="16"/>
        <v>0</v>
      </c>
      <c r="CD5" s="360">
        <f t="shared" si="17"/>
        <v>0</v>
      </c>
      <c r="CE5" s="360">
        <f t="shared" si="18"/>
        <v>0</v>
      </c>
      <c r="CF5" s="360">
        <f t="shared" si="19"/>
        <v>47619.861602966717</v>
      </c>
      <c r="CG5" s="360">
        <f t="shared" si="20"/>
        <v>476198.6160296672</v>
      </c>
      <c r="CH5" s="360">
        <f t="shared" si="21"/>
        <v>476198.6160296672</v>
      </c>
      <c r="CI5" s="360">
        <f t="shared" si="22"/>
        <v>0</v>
      </c>
      <c r="CJ5" s="360">
        <f t="shared" si="23"/>
        <v>0</v>
      </c>
      <c r="CK5" s="360">
        <f t="shared" si="24"/>
        <v>0</v>
      </c>
      <c r="CL5" s="360">
        <f t="shared" si="25"/>
        <v>78540.316968461848</v>
      </c>
      <c r="CM5" s="360">
        <f t="shared" si="26"/>
        <v>785403.16968461848</v>
      </c>
      <c r="CN5" s="360">
        <f t="shared" si="27"/>
        <v>785403.16968461848</v>
      </c>
      <c r="CO5" s="360">
        <f t="shared" si="28"/>
        <v>0</v>
      </c>
      <c r="CP5" s="360">
        <f t="shared" si="29"/>
        <v>0</v>
      </c>
      <c r="CQ5" s="360">
        <f t="shared" si="30"/>
        <v>0</v>
      </c>
      <c r="CR5" s="360">
        <f t="shared" si="31"/>
        <v>0</v>
      </c>
      <c r="CS5" s="360">
        <f t="shared" si="32"/>
        <v>0</v>
      </c>
      <c r="CT5" s="360">
        <f t="shared" si="33"/>
        <v>0</v>
      </c>
      <c r="CU5" s="360">
        <f t="shared" si="34"/>
        <v>0</v>
      </c>
      <c r="CV5" s="360">
        <f t="shared" si="35"/>
        <v>0</v>
      </c>
      <c r="CW5" s="360">
        <f t="shared" si="36"/>
        <v>0</v>
      </c>
      <c r="CX5" s="360">
        <f t="shared" si="37"/>
        <v>0</v>
      </c>
      <c r="CY5" s="360">
        <f t="shared" si="38"/>
        <v>0</v>
      </c>
      <c r="CZ5" s="360">
        <f t="shared" si="39"/>
        <v>0</v>
      </c>
      <c r="DA5" s="360">
        <f t="shared" si="40"/>
        <v>0</v>
      </c>
      <c r="DB5" s="360">
        <f t="shared" si="41"/>
        <v>0</v>
      </c>
      <c r="DC5" s="360">
        <f t="shared" si="42"/>
        <v>0</v>
      </c>
      <c r="DD5" s="360">
        <f t="shared" si="43"/>
        <v>0</v>
      </c>
      <c r="DE5" s="360">
        <f t="shared" si="44"/>
        <v>0</v>
      </c>
      <c r="DF5" s="360">
        <f t="shared" si="45"/>
        <v>0</v>
      </c>
      <c r="DG5" s="360">
        <f t="shared" si="46"/>
        <v>0</v>
      </c>
      <c r="DH5" s="360">
        <f t="shared" si="47"/>
        <v>0</v>
      </c>
      <c r="DI5" s="360">
        <f t="shared" si="48"/>
        <v>0</v>
      </c>
    </row>
    <row r="6" spans="1:113" ht="41.4" customHeight="1" x14ac:dyDescent="0.3">
      <c r="A6" s="55" t="s">
        <v>885</v>
      </c>
      <c r="B6" s="90"/>
      <c r="C6" s="1" t="s">
        <v>886</v>
      </c>
      <c r="D6" s="145" t="s">
        <v>443</v>
      </c>
      <c r="E6" s="1" t="s">
        <v>887</v>
      </c>
      <c r="F6" s="109" t="s">
        <v>888</v>
      </c>
      <c r="G6" s="111">
        <f>'[1]Costs (Arup)'!D11*1650</f>
        <v>4024350</v>
      </c>
      <c r="H6" s="114" t="s">
        <v>889</v>
      </c>
      <c r="I6" s="57">
        <v>0</v>
      </c>
      <c r="J6" s="57">
        <f>G6-I6</f>
        <v>4024350</v>
      </c>
      <c r="K6" s="112">
        <f>J6</f>
        <v>4024350</v>
      </c>
      <c r="L6" s="147" t="s">
        <v>872</v>
      </c>
      <c r="M6" s="389">
        <f t="shared" si="51"/>
        <v>0</v>
      </c>
      <c r="N6" s="100" t="s">
        <v>890</v>
      </c>
      <c r="O6" s="98"/>
      <c r="P6" s="98"/>
      <c r="Q6" s="98"/>
      <c r="R6" s="98"/>
      <c r="S6" s="98"/>
      <c r="T6" s="160"/>
      <c r="U6" s="242">
        <f>[1]Phasing!D29</f>
        <v>2.5529411764705884E-2</v>
      </c>
      <c r="V6" s="242">
        <f>[1]Phasing!E29</f>
        <v>9.8000000000000004E-2</v>
      </c>
      <c r="W6" s="242">
        <f>[1]Phasing!F29</f>
        <v>0.11764705882352941</v>
      </c>
      <c r="X6" s="242">
        <f>[1]Phasing!G29</f>
        <v>0.11764705882352941</v>
      </c>
      <c r="Y6" s="242">
        <f>[1]Phasing!H29</f>
        <v>0.17647058823529413</v>
      </c>
      <c r="Z6" s="247">
        <f>[1]Phasing!I29</f>
        <v>0.46470588235294119</v>
      </c>
      <c r="AA6" s="96" t="s">
        <v>891</v>
      </c>
      <c r="AB6" s="219"/>
      <c r="AC6" s="1" t="s">
        <v>892</v>
      </c>
      <c r="AD6" s="274" t="s">
        <v>241</v>
      </c>
      <c r="AE6" s="90"/>
      <c r="AF6" s="97" t="s">
        <v>242</v>
      </c>
      <c r="AG6" s="94" t="s">
        <v>893</v>
      </c>
      <c r="AH6" s="206"/>
      <c r="AI6" s="149"/>
      <c r="AJ6" s="149"/>
      <c r="AK6" s="149"/>
      <c r="AL6" s="149"/>
      <c r="AM6" s="79">
        <f>K6</f>
        <v>4024350</v>
      </c>
      <c r="AN6" s="149"/>
      <c r="AO6" s="149"/>
      <c r="AP6" s="149"/>
      <c r="AQ6" s="149"/>
      <c r="AR6" s="149"/>
      <c r="AS6" s="149"/>
      <c r="AT6" s="149"/>
      <c r="AU6" s="149"/>
      <c r="AV6" s="149"/>
      <c r="AW6" s="149"/>
      <c r="AX6" s="149"/>
      <c r="AY6" s="149"/>
      <c r="AZ6" s="149"/>
      <c r="BA6" s="149"/>
      <c r="BB6" s="149"/>
      <c r="BC6" s="149"/>
      <c r="BD6" s="149"/>
      <c r="BE6" s="149"/>
      <c r="BF6" s="149"/>
      <c r="BG6" s="149"/>
      <c r="BH6" s="149"/>
      <c r="BI6" s="46"/>
      <c r="BJ6" s="46"/>
      <c r="BK6" s="288" t="b">
        <f t="shared" si="0"/>
        <v>1</v>
      </c>
      <c r="BM6" s="356"/>
      <c r="BN6" s="360">
        <f t="shared" si="1"/>
        <v>0</v>
      </c>
      <c r="BO6" s="360">
        <f t="shared" si="2"/>
        <v>0</v>
      </c>
      <c r="BP6" s="360">
        <f t="shared" si="3"/>
        <v>0</v>
      </c>
      <c r="BQ6" s="360">
        <f t="shared" si="4"/>
        <v>0</v>
      </c>
      <c r="BR6" s="360">
        <f t="shared" si="5"/>
        <v>0</v>
      </c>
      <c r="BS6" s="360">
        <f t="shared" si="6"/>
        <v>0</v>
      </c>
      <c r="BT6" s="360">
        <f t="shared" si="7"/>
        <v>0</v>
      </c>
      <c r="BU6" s="360">
        <f t="shared" si="8"/>
        <v>0</v>
      </c>
      <c r="BV6" s="360">
        <f t="shared" si="9"/>
        <v>0</v>
      </c>
      <c r="BW6" s="360">
        <f t="shared" si="10"/>
        <v>0</v>
      </c>
      <c r="BX6" s="360">
        <f t="shared" si="11"/>
        <v>0</v>
      </c>
      <c r="BY6" s="360">
        <f t="shared" si="12"/>
        <v>0</v>
      </c>
      <c r="BZ6" s="360">
        <f t="shared" si="13"/>
        <v>0</v>
      </c>
      <c r="CA6" s="360">
        <f t="shared" si="14"/>
        <v>0</v>
      </c>
      <c r="CB6" s="360">
        <f t="shared" si="15"/>
        <v>0</v>
      </c>
      <c r="CC6" s="360">
        <f t="shared" si="16"/>
        <v>0</v>
      </c>
      <c r="CD6" s="360">
        <f t="shared" si="17"/>
        <v>0</v>
      </c>
      <c r="CE6" s="360">
        <f t="shared" si="18"/>
        <v>0</v>
      </c>
      <c r="CF6" s="360">
        <f t="shared" si="19"/>
        <v>0</v>
      </c>
      <c r="CG6" s="360">
        <f t="shared" si="20"/>
        <v>0</v>
      </c>
      <c r="CH6" s="360">
        <f t="shared" si="21"/>
        <v>0</v>
      </c>
      <c r="CI6" s="360">
        <f t="shared" si="22"/>
        <v>0</v>
      </c>
      <c r="CJ6" s="360">
        <f t="shared" si="23"/>
        <v>0</v>
      </c>
      <c r="CK6" s="360">
        <f t="shared" si="24"/>
        <v>0</v>
      </c>
      <c r="CL6" s="360">
        <f t="shared" si="25"/>
        <v>0</v>
      </c>
      <c r="CM6" s="360">
        <f t="shared" si="26"/>
        <v>0</v>
      </c>
      <c r="CN6" s="360">
        <f t="shared" si="27"/>
        <v>0</v>
      </c>
      <c r="CO6" s="360">
        <f t="shared" si="28"/>
        <v>0</v>
      </c>
      <c r="CP6" s="360">
        <f t="shared" si="29"/>
        <v>0</v>
      </c>
      <c r="CQ6" s="360">
        <f t="shared" si="30"/>
        <v>0</v>
      </c>
      <c r="CR6" s="360">
        <f t="shared" si="31"/>
        <v>102739.28823529412</v>
      </c>
      <c r="CS6" s="360">
        <f t="shared" si="32"/>
        <v>394386.3</v>
      </c>
      <c r="CT6" s="360">
        <f t="shared" si="33"/>
        <v>473452.9411764706</v>
      </c>
      <c r="CU6" s="360">
        <f t="shared" si="34"/>
        <v>473452.9411764706</v>
      </c>
      <c r="CV6" s="360">
        <f t="shared" si="35"/>
        <v>710179.4117647059</v>
      </c>
      <c r="CW6" s="360">
        <f t="shared" si="36"/>
        <v>1870139.1176470588</v>
      </c>
      <c r="CX6" s="360">
        <f t="shared" si="37"/>
        <v>0</v>
      </c>
      <c r="CY6" s="360">
        <f t="shared" si="38"/>
        <v>0</v>
      </c>
      <c r="CZ6" s="360">
        <f t="shared" si="39"/>
        <v>0</v>
      </c>
      <c r="DA6" s="360">
        <f t="shared" si="40"/>
        <v>0</v>
      </c>
      <c r="DB6" s="360">
        <f t="shared" si="41"/>
        <v>0</v>
      </c>
      <c r="DC6" s="360">
        <f t="shared" si="42"/>
        <v>0</v>
      </c>
      <c r="DD6" s="360">
        <f t="shared" si="43"/>
        <v>0</v>
      </c>
      <c r="DE6" s="360">
        <f t="shared" si="44"/>
        <v>0</v>
      </c>
      <c r="DF6" s="360">
        <f t="shared" si="45"/>
        <v>0</v>
      </c>
      <c r="DG6" s="360">
        <f t="shared" si="46"/>
        <v>0</v>
      </c>
      <c r="DH6" s="360">
        <f t="shared" si="47"/>
        <v>0</v>
      </c>
      <c r="DI6" s="360">
        <f t="shared" si="48"/>
        <v>0</v>
      </c>
    </row>
    <row r="7" spans="1:113" ht="42" x14ac:dyDescent="0.3">
      <c r="A7" s="55" t="s">
        <v>894</v>
      </c>
      <c r="B7" s="90"/>
      <c r="C7" s="1" t="s">
        <v>895</v>
      </c>
      <c r="D7" s="145" t="s">
        <v>443</v>
      </c>
      <c r="E7" s="1" t="s">
        <v>887</v>
      </c>
      <c r="F7" s="109" t="s">
        <v>888</v>
      </c>
      <c r="G7" s="111">
        <f>'[1]Costs (Arup)'!D11*275</f>
        <v>670725</v>
      </c>
      <c r="H7" s="114" t="s">
        <v>889</v>
      </c>
      <c r="I7" s="57">
        <v>0</v>
      </c>
      <c r="J7" s="57">
        <f>G7-I7</f>
        <v>670725</v>
      </c>
      <c r="K7" s="112">
        <f>J7</f>
        <v>670725</v>
      </c>
      <c r="L7" s="147" t="s">
        <v>872</v>
      </c>
      <c r="M7" s="389">
        <f t="shared" si="51"/>
        <v>0</v>
      </c>
      <c r="N7" s="100" t="s">
        <v>896</v>
      </c>
      <c r="O7" s="9"/>
      <c r="P7" s="98"/>
      <c r="Q7" s="98"/>
      <c r="R7" s="98"/>
      <c r="S7" s="98"/>
      <c r="T7" s="160"/>
      <c r="U7" s="245">
        <f>[1]Phasing!D30</f>
        <v>0</v>
      </c>
      <c r="V7" s="242">
        <f>[1]Phasing!E30</f>
        <v>0.33333333333333331</v>
      </c>
      <c r="W7" s="242">
        <f>[1]Phasing!F30</f>
        <v>0.33333333333333331</v>
      </c>
      <c r="X7" s="242">
        <f>[1]Phasing!G30</f>
        <v>0.33333333333333331</v>
      </c>
      <c r="Y7" s="242">
        <f>[1]Phasing!H30</f>
        <v>0</v>
      </c>
      <c r="Z7" s="247">
        <f>[1]Phasing!I30</f>
        <v>0</v>
      </c>
      <c r="AA7" s="96" t="s">
        <v>897</v>
      </c>
      <c r="AB7" s="219"/>
      <c r="AC7" s="1" t="s">
        <v>898</v>
      </c>
      <c r="AD7" s="274" t="s">
        <v>241</v>
      </c>
      <c r="AE7" s="90"/>
      <c r="AF7" s="97" t="s">
        <v>242</v>
      </c>
      <c r="AG7" s="94" t="s">
        <v>893</v>
      </c>
      <c r="AH7" s="206"/>
      <c r="AI7" s="149"/>
      <c r="AJ7" s="149"/>
      <c r="AK7" s="149"/>
      <c r="AL7" s="149"/>
      <c r="AM7" s="149"/>
      <c r="AN7" s="79">
        <f>K7</f>
        <v>670725</v>
      </c>
      <c r="AO7" s="149"/>
      <c r="AP7" s="149"/>
      <c r="AQ7" s="149"/>
      <c r="AR7" s="149"/>
      <c r="AS7" s="149"/>
      <c r="AT7" s="149"/>
      <c r="AU7" s="149"/>
      <c r="AV7" s="149"/>
      <c r="AW7" s="149"/>
      <c r="AX7" s="149"/>
      <c r="AY7" s="149"/>
      <c r="AZ7" s="149"/>
      <c r="BA7" s="149"/>
      <c r="BB7" s="149"/>
      <c r="BC7" s="149"/>
      <c r="BD7" s="149"/>
      <c r="BE7" s="149"/>
      <c r="BF7" s="149"/>
      <c r="BG7" s="149"/>
      <c r="BH7" s="149"/>
      <c r="BI7" s="46"/>
      <c r="BJ7" s="46"/>
      <c r="BK7" s="288" t="b">
        <f t="shared" si="0"/>
        <v>1</v>
      </c>
      <c r="BM7" s="356"/>
      <c r="BN7" s="360">
        <f t="shared" si="1"/>
        <v>0</v>
      </c>
      <c r="BO7" s="360">
        <f t="shared" si="2"/>
        <v>0</v>
      </c>
      <c r="BP7" s="360">
        <f t="shared" si="3"/>
        <v>0</v>
      </c>
      <c r="BQ7" s="360">
        <f t="shared" si="4"/>
        <v>0</v>
      </c>
      <c r="BR7" s="360">
        <f t="shared" si="5"/>
        <v>0</v>
      </c>
      <c r="BS7" s="360">
        <f t="shared" si="6"/>
        <v>0</v>
      </c>
      <c r="BT7" s="360">
        <f t="shared" si="7"/>
        <v>0</v>
      </c>
      <c r="BU7" s="360">
        <f t="shared" si="8"/>
        <v>0</v>
      </c>
      <c r="BV7" s="360">
        <f t="shared" si="9"/>
        <v>0</v>
      </c>
      <c r="BW7" s="360">
        <f t="shared" si="10"/>
        <v>0</v>
      </c>
      <c r="BX7" s="360">
        <f t="shared" si="11"/>
        <v>0</v>
      </c>
      <c r="BY7" s="360">
        <f t="shared" si="12"/>
        <v>0</v>
      </c>
      <c r="BZ7" s="360">
        <f t="shared" si="13"/>
        <v>0</v>
      </c>
      <c r="CA7" s="360">
        <f t="shared" si="14"/>
        <v>0</v>
      </c>
      <c r="CB7" s="360">
        <f t="shared" si="15"/>
        <v>0</v>
      </c>
      <c r="CC7" s="360">
        <f t="shared" si="16"/>
        <v>0</v>
      </c>
      <c r="CD7" s="360">
        <f t="shared" si="17"/>
        <v>0</v>
      </c>
      <c r="CE7" s="360">
        <f t="shared" si="18"/>
        <v>0</v>
      </c>
      <c r="CF7" s="360">
        <f t="shared" si="19"/>
        <v>0</v>
      </c>
      <c r="CG7" s="360">
        <f t="shared" si="20"/>
        <v>0</v>
      </c>
      <c r="CH7" s="360">
        <f t="shared" si="21"/>
        <v>0</v>
      </c>
      <c r="CI7" s="360">
        <f t="shared" si="22"/>
        <v>0</v>
      </c>
      <c r="CJ7" s="360">
        <f t="shared" si="23"/>
        <v>0</v>
      </c>
      <c r="CK7" s="360">
        <f t="shared" si="24"/>
        <v>0</v>
      </c>
      <c r="CL7" s="360">
        <f t="shared" si="25"/>
        <v>0</v>
      </c>
      <c r="CM7" s="360">
        <f t="shared" si="26"/>
        <v>0</v>
      </c>
      <c r="CN7" s="360">
        <f t="shared" si="27"/>
        <v>0</v>
      </c>
      <c r="CO7" s="360">
        <f t="shared" si="28"/>
        <v>0</v>
      </c>
      <c r="CP7" s="360">
        <f t="shared" si="29"/>
        <v>0</v>
      </c>
      <c r="CQ7" s="360">
        <f t="shared" si="30"/>
        <v>0</v>
      </c>
      <c r="CR7" s="360">
        <f t="shared" si="31"/>
        <v>0</v>
      </c>
      <c r="CS7" s="360">
        <f t="shared" si="32"/>
        <v>0</v>
      </c>
      <c r="CT7" s="360">
        <f t="shared" si="33"/>
        <v>0</v>
      </c>
      <c r="CU7" s="360">
        <f t="shared" si="34"/>
        <v>0</v>
      </c>
      <c r="CV7" s="360">
        <f t="shared" si="35"/>
        <v>0</v>
      </c>
      <c r="CW7" s="360">
        <f t="shared" si="36"/>
        <v>0</v>
      </c>
      <c r="CX7" s="360">
        <f t="shared" si="37"/>
        <v>0</v>
      </c>
      <c r="CY7" s="360">
        <f t="shared" si="38"/>
        <v>223575</v>
      </c>
      <c r="CZ7" s="360">
        <f t="shared" si="39"/>
        <v>223575</v>
      </c>
      <c r="DA7" s="360">
        <f t="shared" si="40"/>
        <v>223575</v>
      </c>
      <c r="DB7" s="360">
        <f t="shared" si="41"/>
        <v>0</v>
      </c>
      <c r="DC7" s="360">
        <f t="shared" si="42"/>
        <v>0</v>
      </c>
      <c r="DD7" s="360">
        <f t="shared" si="43"/>
        <v>0</v>
      </c>
      <c r="DE7" s="360">
        <f t="shared" si="44"/>
        <v>0</v>
      </c>
      <c r="DF7" s="360">
        <f t="shared" si="45"/>
        <v>0</v>
      </c>
      <c r="DG7" s="360">
        <f t="shared" si="46"/>
        <v>0</v>
      </c>
      <c r="DH7" s="360">
        <f t="shared" si="47"/>
        <v>0</v>
      </c>
      <c r="DI7" s="360">
        <f t="shared" si="48"/>
        <v>0</v>
      </c>
    </row>
    <row r="8" spans="1:113" ht="56" x14ac:dyDescent="0.3">
      <c r="A8" s="55" t="s">
        <v>899</v>
      </c>
      <c r="B8" s="90" t="s">
        <v>900</v>
      </c>
      <c r="C8" s="1" t="s">
        <v>901</v>
      </c>
      <c r="D8" s="145" t="s">
        <v>443</v>
      </c>
      <c r="E8" s="1" t="s">
        <v>902</v>
      </c>
      <c r="F8" s="109" t="s">
        <v>870</v>
      </c>
      <c r="G8" s="111">
        <f>'[1]Costs (Arup)'!D35*('[1]Costs (Arup)'!F11*349)</f>
        <v>5616936.875</v>
      </c>
      <c r="H8" s="114" t="s">
        <v>871</v>
      </c>
      <c r="I8" s="57">
        <v>1092459</v>
      </c>
      <c r="J8" s="57">
        <f t="shared" si="49"/>
        <v>4524477.875</v>
      </c>
      <c r="K8" s="112">
        <f t="shared" si="50"/>
        <v>4524477.875</v>
      </c>
      <c r="L8" s="147" t="s">
        <v>872</v>
      </c>
      <c r="M8" s="389">
        <f t="shared" si="51"/>
        <v>0</v>
      </c>
      <c r="N8" s="100" t="s">
        <v>903</v>
      </c>
      <c r="O8" s="98"/>
      <c r="P8" s="98"/>
      <c r="Q8" s="31"/>
      <c r="R8" s="9"/>
      <c r="S8" s="9"/>
      <c r="T8" s="103"/>
      <c r="U8" s="242">
        <v>0.28999999999999998</v>
      </c>
      <c r="V8" s="242">
        <v>0.71</v>
      </c>
      <c r="W8" s="254"/>
      <c r="X8" s="255"/>
      <c r="Y8" s="255"/>
      <c r="Z8" s="256"/>
      <c r="AA8" s="96" t="s">
        <v>904</v>
      </c>
      <c r="AB8" s="1" t="s">
        <v>309</v>
      </c>
      <c r="AC8" s="1" t="s">
        <v>874</v>
      </c>
      <c r="AD8" s="274" t="s">
        <v>241</v>
      </c>
      <c r="AE8" s="90"/>
      <c r="AF8" s="97" t="s">
        <v>242</v>
      </c>
      <c r="AG8" s="94" t="s">
        <v>293</v>
      </c>
      <c r="AH8" s="207"/>
      <c r="AI8" s="79">
        <f>$K8*'[1]Apportionment %'!D21</f>
        <v>4503691.6060490049</v>
      </c>
      <c r="AJ8" s="149"/>
      <c r="AK8" s="149"/>
      <c r="AL8" s="149"/>
      <c r="AM8" s="149"/>
      <c r="AN8" s="149"/>
      <c r="AO8" s="149"/>
      <c r="AP8" s="149"/>
      <c r="AQ8" s="149"/>
      <c r="AR8" s="149"/>
      <c r="AS8" s="149"/>
      <c r="AT8" s="149"/>
      <c r="AU8" s="149"/>
      <c r="AV8" s="149"/>
      <c r="AW8" s="149"/>
      <c r="AX8" s="149"/>
      <c r="AY8" s="149"/>
      <c r="AZ8" s="149"/>
      <c r="BA8" s="149"/>
      <c r="BB8" s="149"/>
      <c r="BC8" s="79">
        <f>$K8*'[1]Apportionment %'!X21</f>
        <v>20786.268950995407</v>
      </c>
      <c r="BD8" s="149"/>
      <c r="BE8" s="149"/>
      <c r="BF8" s="149"/>
      <c r="BG8" s="149"/>
      <c r="BH8" s="149"/>
      <c r="BI8" s="46"/>
      <c r="BJ8" s="46"/>
      <c r="BK8" s="288" t="b">
        <f t="shared" si="0"/>
        <v>1</v>
      </c>
      <c r="BM8" s="356"/>
      <c r="BN8" s="360">
        <f t="shared" si="1"/>
        <v>0</v>
      </c>
      <c r="BO8" s="360">
        <f t="shared" si="2"/>
        <v>0</v>
      </c>
      <c r="BP8" s="360">
        <f t="shared" si="3"/>
        <v>0</v>
      </c>
      <c r="BQ8" s="360">
        <f t="shared" si="4"/>
        <v>0</v>
      </c>
      <c r="BR8" s="360">
        <f t="shared" si="5"/>
        <v>0</v>
      </c>
      <c r="BS8" s="360">
        <f t="shared" si="6"/>
        <v>0</v>
      </c>
      <c r="BT8" s="360">
        <f t="shared" si="7"/>
        <v>1306070.5657542113</v>
      </c>
      <c r="BU8" s="360">
        <f t="shared" si="8"/>
        <v>3197621.0402947934</v>
      </c>
      <c r="BV8" s="360">
        <f t="shared" si="9"/>
        <v>0</v>
      </c>
      <c r="BW8" s="360">
        <f t="shared" si="10"/>
        <v>0</v>
      </c>
      <c r="BX8" s="360">
        <f t="shared" si="11"/>
        <v>0</v>
      </c>
      <c r="BY8" s="360">
        <f t="shared" si="12"/>
        <v>0</v>
      </c>
      <c r="BZ8" s="360">
        <f t="shared" si="13"/>
        <v>0</v>
      </c>
      <c r="CA8" s="360">
        <f t="shared" si="14"/>
        <v>0</v>
      </c>
      <c r="CB8" s="360">
        <f t="shared" si="15"/>
        <v>0</v>
      </c>
      <c r="CC8" s="360">
        <f t="shared" si="16"/>
        <v>0</v>
      </c>
      <c r="CD8" s="360">
        <f t="shared" si="17"/>
        <v>0</v>
      </c>
      <c r="CE8" s="360">
        <f t="shared" si="18"/>
        <v>0</v>
      </c>
      <c r="CF8" s="360">
        <f t="shared" si="19"/>
        <v>0</v>
      </c>
      <c r="CG8" s="360">
        <f t="shared" si="20"/>
        <v>0</v>
      </c>
      <c r="CH8" s="360">
        <f t="shared" si="21"/>
        <v>0</v>
      </c>
      <c r="CI8" s="360">
        <f t="shared" si="22"/>
        <v>0</v>
      </c>
      <c r="CJ8" s="360">
        <f t="shared" si="23"/>
        <v>0</v>
      </c>
      <c r="CK8" s="360">
        <f t="shared" si="24"/>
        <v>0</v>
      </c>
      <c r="CL8" s="360">
        <f t="shared" si="25"/>
        <v>0</v>
      </c>
      <c r="CM8" s="360">
        <f t="shared" si="26"/>
        <v>0</v>
      </c>
      <c r="CN8" s="360">
        <f t="shared" si="27"/>
        <v>0</v>
      </c>
      <c r="CO8" s="360">
        <f t="shared" si="28"/>
        <v>0</v>
      </c>
      <c r="CP8" s="360">
        <f t="shared" si="29"/>
        <v>0</v>
      </c>
      <c r="CQ8" s="360">
        <f t="shared" si="30"/>
        <v>0</v>
      </c>
      <c r="CR8" s="360">
        <f t="shared" si="31"/>
        <v>0</v>
      </c>
      <c r="CS8" s="360">
        <f t="shared" si="32"/>
        <v>0</v>
      </c>
      <c r="CT8" s="360">
        <f t="shared" si="33"/>
        <v>0</v>
      </c>
      <c r="CU8" s="360">
        <f t="shared" si="34"/>
        <v>0</v>
      </c>
      <c r="CV8" s="360">
        <f t="shared" si="35"/>
        <v>0</v>
      </c>
      <c r="CW8" s="360">
        <f t="shared" si="36"/>
        <v>0</v>
      </c>
      <c r="CX8" s="360">
        <f t="shared" si="37"/>
        <v>0</v>
      </c>
      <c r="CY8" s="360">
        <f t="shared" si="38"/>
        <v>0</v>
      </c>
      <c r="CZ8" s="360">
        <f t="shared" si="39"/>
        <v>0</v>
      </c>
      <c r="DA8" s="360">
        <f t="shared" si="40"/>
        <v>0</v>
      </c>
      <c r="DB8" s="360">
        <f t="shared" si="41"/>
        <v>0</v>
      </c>
      <c r="DC8" s="360">
        <f t="shared" si="42"/>
        <v>0</v>
      </c>
      <c r="DD8" s="360">
        <f t="shared" si="43"/>
        <v>0</v>
      </c>
      <c r="DE8" s="360">
        <f t="shared" si="44"/>
        <v>0</v>
      </c>
      <c r="DF8" s="360">
        <f t="shared" si="45"/>
        <v>0</v>
      </c>
      <c r="DG8" s="360">
        <f t="shared" si="46"/>
        <v>0</v>
      </c>
      <c r="DH8" s="360">
        <f t="shared" si="47"/>
        <v>0</v>
      </c>
      <c r="DI8" s="360">
        <f t="shared" si="48"/>
        <v>0</v>
      </c>
    </row>
    <row r="9" spans="1:113" ht="56" x14ac:dyDescent="0.3">
      <c r="A9" s="55" t="s">
        <v>905</v>
      </c>
      <c r="B9" s="90" t="s">
        <v>906</v>
      </c>
      <c r="C9" s="1" t="s">
        <v>907</v>
      </c>
      <c r="D9" s="145" t="s">
        <v>443</v>
      </c>
      <c r="E9" s="1" t="s">
        <v>902</v>
      </c>
      <c r="F9" s="109" t="s">
        <v>870</v>
      </c>
      <c r="G9" s="111">
        <f>'[1]Costs (Arup)'!D35*('[1]Costs (Arup)'!F11*50)</f>
        <v>804718.75</v>
      </c>
      <c r="H9" s="114" t="s">
        <v>871</v>
      </c>
      <c r="I9" s="57">
        <v>0</v>
      </c>
      <c r="J9" s="57">
        <f t="shared" si="49"/>
        <v>804718.75</v>
      </c>
      <c r="K9" s="112">
        <f t="shared" si="50"/>
        <v>804718.75</v>
      </c>
      <c r="L9" s="147" t="s">
        <v>872</v>
      </c>
      <c r="M9" s="389">
        <f t="shared" si="51"/>
        <v>0</v>
      </c>
      <c r="N9" s="100" t="s">
        <v>308</v>
      </c>
      <c r="O9" s="98"/>
      <c r="P9" s="31"/>
      <c r="Q9" s="31"/>
      <c r="R9" s="9"/>
      <c r="S9" s="9"/>
      <c r="T9" s="103"/>
      <c r="U9" s="242">
        <v>1</v>
      </c>
      <c r="V9" s="254"/>
      <c r="W9" s="254"/>
      <c r="X9" s="255"/>
      <c r="Y9" s="255"/>
      <c r="Z9" s="256"/>
      <c r="AA9" s="96"/>
      <c r="AB9" s="1" t="s">
        <v>309</v>
      </c>
      <c r="AC9" s="1" t="s">
        <v>874</v>
      </c>
      <c r="AD9" s="274" t="s">
        <v>241</v>
      </c>
      <c r="AE9" s="90"/>
      <c r="AF9" s="97" t="s">
        <v>242</v>
      </c>
      <c r="AG9" s="94" t="s">
        <v>293</v>
      </c>
      <c r="AH9" s="206"/>
      <c r="AI9" s="149"/>
      <c r="AJ9" s="149"/>
      <c r="AK9" s="149"/>
      <c r="AL9" s="149"/>
      <c r="AM9" s="149"/>
      <c r="AN9" s="149"/>
      <c r="AO9" s="79">
        <f>$K9*'[1]Apportionment %'!J22</f>
        <v>792526.04166666663</v>
      </c>
      <c r="AP9" s="149"/>
      <c r="AQ9" s="149"/>
      <c r="AR9" s="149"/>
      <c r="AS9" s="149"/>
      <c r="AT9" s="149"/>
      <c r="AU9" s="149"/>
      <c r="AV9" s="149"/>
      <c r="AW9" s="149"/>
      <c r="AX9" s="149"/>
      <c r="AY9" s="149"/>
      <c r="AZ9" s="149"/>
      <c r="BA9" s="149"/>
      <c r="BB9" s="149"/>
      <c r="BC9" s="149"/>
      <c r="BD9" s="149"/>
      <c r="BE9" s="79">
        <f>$K9*'[1]Apportionment %'!Z22</f>
        <v>12192.708333333334</v>
      </c>
      <c r="BF9" s="149"/>
      <c r="BG9" s="149"/>
      <c r="BH9" s="149"/>
      <c r="BI9" s="46"/>
      <c r="BJ9" s="46"/>
      <c r="BK9" s="288" t="b">
        <f t="shared" si="0"/>
        <v>1</v>
      </c>
      <c r="BM9" s="356"/>
      <c r="BN9" s="360">
        <f t="shared" si="1"/>
        <v>0</v>
      </c>
      <c r="BO9" s="360">
        <f t="shared" si="2"/>
        <v>0</v>
      </c>
      <c r="BP9" s="360">
        <f t="shared" si="3"/>
        <v>0</v>
      </c>
      <c r="BQ9" s="360">
        <f t="shared" si="4"/>
        <v>0</v>
      </c>
      <c r="BR9" s="360">
        <f t="shared" si="5"/>
        <v>0</v>
      </c>
      <c r="BS9" s="360">
        <f t="shared" si="6"/>
        <v>0</v>
      </c>
      <c r="BT9" s="360">
        <f t="shared" si="7"/>
        <v>0</v>
      </c>
      <c r="BU9" s="360">
        <f t="shared" si="8"/>
        <v>0</v>
      </c>
      <c r="BV9" s="360">
        <f t="shared" si="9"/>
        <v>0</v>
      </c>
      <c r="BW9" s="360">
        <f t="shared" si="10"/>
        <v>0</v>
      </c>
      <c r="BX9" s="360">
        <f t="shared" si="11"/>
        <v>0</v>
      </c>
      <c r="BY9" s="360">
        <f t="shared" si="12"/>
        <v>0</v>
      </c>
      <c r="BZ9" s="360">
        <f t="shared" si="13"/>
        <v>0</v>
      </c>
      <c r="CA9" s="360">
        <f t="shared" si="14"/>
        <v>0</v>
      </c>
      <c r="CB9" s="360">
        <f t="shared" si="15"/>
        <v>0</v>
      </c>
      <c r="CC9" s="360">
        <f t="shared" si="16"/>
        <v>0</v>
      </c>
      <c r="CD9" s="360">
        <f t="shared" si="17"/>
        <v>0</v>
      </c>
      <c r="CE9" s="360">
        <f t="shared" si="18"/>
        <v>0</v>
      </c>
      <c r="CF9" s="360">
        <f t="shared" si="19"/>
        <v>0</v>
      </c>
      <c r="CG9" s="360">
        <f t="shared" si="20"/>
        <v>0</v>
      </c>
      <c r="CH9" s="360">
        <f t="shared" si="21"/>
        <v>0</v>
      </c>
      <c r="CI9" s="360">
        <f t="shared" si="22"/>
        <v>0</v>
      </c>
      <c r="CJ9" s="360">
        <f t="shared" si="23"/>
        <v>0</v>
      </c>
      <c r="CK9" s="360">
        <f t="shared" si="24"/>
        <v>0</v>
      </c>
      <c r="CL9" s="360">
        <f t="shared" si="25"/>
        <v>0</v>
      </c>
      <c r="CM9" s="360">
        <f t="shared" si="26"/>
        <v>0</v>
      </c>
      <c r="CN9" s="360">
        <f t="shared" si="27"/>
        <v>0</v>
      </c>
      <c r="CO9" s="360">
        <f t="shared" si="28"/>
        <v>0</v>
      </c>
      <c r="CP9" s="360">
        <f t="shared" si="29"/>
        <v>0</v>
      </c>
      <c r="CQ9" s="360">
        <f t="shared" si="30"/>
        <v>0</v>
      </c>
      <c r="CR9" s="360">
        <f t="shared" si="31"/>
        <v>0</v>
      </c>
      <c r="CS9" s="360">
        <f t="shared" si="32"/>
        <v>0</v>
      </c>
      <c r="CT9" s="360">
        <f t="shared" si="33"/>
        <v>0</v>
      </c>
      <c r="CU9" s="360">
        <f t="shared" si="34"/>
        <v>0</v>
      </c>
      <c r="CV9" s="360">
        <f t="shared" si="35"/>
        <v>0</v>
      </c>
      <c r="CW9" s="360">
        <f t="shared" si="36"/>
        <v>0</v>
      </c>
      <c r="CX9" s="360">
        <f t="shared" si="37"/>
        <v>0</v>
      </c>
      <c r="CY9" s="360">
        <f t="shared" si="38"/>
        <v>0</v>
      </c>
      <c r="CZ9" s="360">
        <f t="shared" si="39"/>
        <v>0</v>
      </c>
      <c r="DA9" s="360">
        <f t="shared" si="40"/>
        <v>0</v>
      </c>
      <c r="DB9" s="360">
        <f t="shared" si="41"/>
        <v>0</v>
      </c>
      <c r="DC9" s="360">
        <f t="shared" si="42"/>
        <v>0</v>
      </c>
      <c r="DD9" s="360">
        <f t="shared" si="43"/>
        <v>792526.04166666663</v>
      </c>
      <c r="DE9" s="360">
        <f t="shared" si="44"/>
        <v>0</v>
      </c>
      <c r="DF9" s="360">
        <f t="shared" si="45"/>
        <v>0</v>
      </c>
      <c r="DG9" s="360">
        <f t="shared" si="46"/>
        <v>0</v>
      </c>
      <c r="DH9" s="360">
        <f t="shared" si="47"/>
        <v>0</v>
      </c>
      <c r="DI9" s="360">
        <f t="shared" si="48"/>
        <v>0</v>
      </c>
    </row>
    <row r="10" spans="1:113" ht="56" x14ac:dyDescent="0.3">
      <c r="A10" s="55" t="s">
        <v>908</v>
      </c>
      <c r="B10" s="90" t="s">
        <v>909</v>
      </c>
      <c r="C10" s="1" t="s">
        <v>910</v>
      </c>
      <c r="D10" s="145" t="s">
        <v>443</v>
      </c>
      <c r="E10" s="1" t="s">
        <v>902</v>
      </c>
      <c r="F10" s="109" t="s">
        <v>870</v>
      </c>
      <c r="G10" s="111">
        <f>'[1]Costs (Arup)'!D35*('[1]Costs (Arup)'!F11*38)</f>
        <v>611586.25</v>
      </c>
      <c r="H10" s="114" t="s">
        <v>871</v>
      </c>
      <c r="I10" s="57">
        <v>0</v>
      </c>
      <c r="J10" s="57">
        <f t="shared" si="49"/>
        <v>611586.25</v>
      </c>
      <c r="K10" s="112">
        <f>1432*'[1]Apportionment %'!B23</f>
        <v>37232</v>
      </c>
      <c r="L10" s="147" t="s">
        <v>911</v>
      </c>
      <c r="M10" s="389">
        <f t="shared" si="51"/>
        <v>574354.25</v>
      </c>
      <c r="N10" s="100" t="s">
        <v>308</v>
      </c>
      <c r="O10" s="98"/>
      <c r="P10" s="9"/>
      <c r="Q10" s="9"/>
      <c r="R10" s="9"/>
      <c r="S10" s="9"/>
      <c r="T10" s="103"/>
      <c r="U10" s="242">
        <v>1</v>
      </c>
      <c r="V10" s="255"/>
      <c r="W10" s="255"/>
      <c r="X10" s="255"/>
      <c r="Y10" s="255"/>
      <c r="Z10" s="256"/>
      <c r="AA10" s="96"/>
      <c r="AB10" s="1" t="s">
        <v>309</v>
      </c>
      <c r="AC10" s="1" t="s">
        <v>874</v>
      </c>
      <c r="AD10" s="274" t="s">
        <v>241</v>
      </c>
      <c r="AE10" s="90"/>
      <c r="AF10" s="97" t="s">
        <v>242</v>
      </c>
      <c r="AG10" s="94" t="s">
        <v>293</v>
      </c>
      <c r="AH10" s="206"/>
      <c r="AI10" s="149"/>
      <c r="AJ10" s="149"/>
      <c r="AK10" s="149"/>
      <c r="AL10" s="149"/>
      <c r="AM10" s="149"/>
      <c r="AN10" s="149"/>
      <c r="AO10" s="149"/>
      <c r="AP10" s="149"/>
      <c r="AQ10" s="149"/>
      <c r="AR10" s="149"/>
      <c r="AS10" s="149"/>
      <c r="AT10" s="149"/>
      <c r="AU10" s="149"/>
      <c r="AV10" s="149"/>
      <c r="AW10" s="149"/>
      <c r="AX10" s="149"/>
      <c r="AY10" s="149"/>
      <c r="AZ10" s="79">
        <f>$K10*'[1]Apportionment %'!U23</f>
        <v>22912</v>
      </c>
      <c r="BA10" s="149"/>
      <c r="BB10" s="149"/>
      <c r="BC10" s="149"/>
      <c r="BD10" s="149"/>
      <c r="BE10" s="149"/>
      <c r="BF10" s="149"/>
      <c r="BG10" s="149"/>
      <c r="BH10" s="79">
        <f>$K10*'[1]Apportionment %'!AC23</f>
        <v>14320</v>
      </c>
      <c r="BI10" s="46"/>
      <c r="BJ10" s="46"/>
      <c r="BK10" s="288" t="b">
        <f t="shared" si="0"/>
        <v>1</v>
      </c>
      <c r="BM10" s="356"/>
      <c r="BN10" s="360">
        <f t="shared" si="1"/>
        <v>0</v>
      </c>
      <c r="BO10" s="360">
        <f t="shared" si="2"/>
        <v>0</v>
      </c>
      <c r="BP10" s="360">
        <f t="shared" si="3"/>
        <v>0</v>
      </c>
      <c r="BQ10" s="360">
        <f t="shared" si="4"/>
        <v>0</v>
      </c>
      <c r="BR10" s="360">
        <f t="shared" si="5"/>
        <v>0</v>
      </c>
      <c r="BS10" s="360">
        <f t="shared" si="6"/>
        <v>0</v>
      </c>
      <c r="BT10" s="360">
        <f t="shared" si="7"/>
        <v>0</v>
      </c>
      <c r="BU10" s="360">
        <f t="shared" si="8"/>
        <v>0</v>
      </c>
      <c r="BV10" s="360">
        <f t="shared" si="9"/>
        <v>0</v>
      </c>
      <c r="BW10" s="360">
        <f t="shared" si="10"/>
        <v>0</v>
      </c>
      <c r="BX10" s="360">
        <f t="shared" si="11"/>
        <v>0</v>
      </c>
      <c r="BY10" s="360">
        <f t="shared" si="12"/>
        <v>0</v>
      </c>
      <c r="BZ10" s="360">
        <f t="shared" si="13"/>
        <v>0</v>
      </c>
      <c r="CA10" s="360">
        <f t="shared" si="14"/>
        <v>0</v>
      </c>
      <c r="CB10" s="360">
        <f t="shared" si="15"/>
        <v>0</v>
      </c>
      <c r="CC10" s="360">
        <f t="shared" si="16"/>
        <v>0</v>
      </c>
      <c r="CD10" s="360">
        <f t="shared" si="17"/>
        <v>0</v>
      </c>
      <c r="CE10" s="360">
        <f t="shared" si="18"/>
        <v>0</v>
      </c>
      <c r="CF10" s="360">
        <f t="shared" si="19"/>
        <v>0</v>
      </c>
      <c r="CG10" s="360">
        <f t="shared" si="20"/>
        <v>0</v>
      </c>
      <c r="CH10" s="360">
        <f t="shared" si="21"/>
        <v>0</v>
      </c>
      <c r="CI10" s="360">
        <f t="shared" si="22"/>
        <v>0</v>
      </c>
      <c r="CJ10" s="360">
        <f t="shared" si="23"/>
        <v>0</v>
      </c>
      <c r="CK10" s="360">
        <f t="shared" si="24"/>
        <v>0</v>
      </c>
      <c r="CL10" s="360">
        <f t="shared" si="25"/>
        <v>0</v>
      </c>
      <c r="CM10" s="360">
        <f t="shared" si="26"/>
        <v>0</v>
      </c>
      <c r="CN10" s="360">
        <f t="shared" si="27"/>
        <v>0</v>
      </c>
      <c r="CO10" s="360">
        <f t="shared" si="28"/>
        <v>0</v>
      </c>
      <c r="CP10" s="360">
        <f t="shared" si="29"/>
        <v>0</v>
      </c>
      <c r="CQ10" s="360">
        <f t="shared" si="30"/>
        <v>0</v>
      </c>
      <c r="CR10" s="360">
        <f t="shared" si="31"/>
        <v>0</v>
      </c>
      <c r="CS10" s="360">
        <f t="shared" si="32"/>
        <v>0</v>
      </c>
      <c r="CT10" s="360">
        <f t="shared" si="33"/>
        <v>0</v>
      </c>
      <c r="CU10" s="360">
        <f t="shared" si="34"/>
        <v>0</v>
      </c>
      <c r="CV10" s="360">
        <f t="shared" si="35"/>
        <v>0</v>
      </c>
      <c r="CW10" s="360">
        <f t="shared" si="36"/>
        <v>0</v>
      </c>
      <c r="CX10" s="360">
        <f t="shared" si="37"/>
        <v>0</v>
      </c>
      <c r="CY10" s="360">
        <f t="shared" si="38"/>
        <v>0</v>
      </c>
      <c r="CZ10" s="360">
        <f t="shared" si="39"/>
        <v>0</v>
      </c>
      <c r="DA10" s="360">
        <f t="shared" si="40"/>
        <v>0</v>
      </c>
      <c r="DB10" s="360">
        <f t="shared" si="41"/>
        <v>0</v>
      </c>
      <c r="DC10" s="360">
        <f t="shared" si="42"/>
        <v>0</v>
      </c>
      <c r="DD10" s="360">
        <f t="shared" si="43"/>
        <v>0</v>
      </c>
      <c r="DE10" s="360">
        <f t="shared" si="44"/>
        <v>0</v>
      </c>
      <c r="DF10" s="360">
        <f t="shared" si="45"/>
        <v>0</v>
      </c>
      <c r="DG10" s="360">
        <f t="shared" si="46"/>
        <v>0</v>
      </c>
      <c r="DH10" s="360">
        <f t="shared" si="47"/>
        <v>0</v>
      </c>
      <c r="DI10" s="360">
        <f t="shared" si="48"/>
        <v>0</v>
      </c>
    </row>
    <row r="11" spans="1:113" ht="56" x14ac:dyDescent="0.3">
      <c r="A11" s="55" t="s">
        <v>912</v>
      </c>
      <c r="B11" s="90" t="s">
        <v>913</v>
      </c>
      <c r="C11" s="1" t="s">
        <v>914</v>
      </c>
      <c r="D11" s="145" t="s">
        <v>443</v>
      </c>
      <c r="E11" s="1" t="s">
        <v>902</v>
      </c>
      <c r="F11" s="109" t="s">
        <v>870</v>
      </c>
      <c r="G11" s="111">
        <f>'[1]Costs (Arup)'!D35*('[1]Costs (Arup)'!F11*23)</f>
        <v>370170.625</v>
      </c>
      <c r="H11" s="114" t="s">
        <v>871</v>
      </c>
      <c r="I11" s="57">
        <v>0</v>
      </c>
      <c r="J11" s="57">
        <f t="shared" si="49"/>
        <v>370170.625</v>
      </c>
      <c r="K11" s="112">
        <f>1432*'[1]Apportionment %'!B24</f>
        <v>105968</v>
      </c>
      <c r="L11" s="147" t="s">
        <v>911</v>
      </c>
      <c r="M11" s="389">
        <f t="shared" si="51"/>
        <v>264202.625</v>
      </c>
      <c r="N11" s="100" t="s">
        <v>308</v>
      </c>
      <c r="O11" s="98"/>
      <c r="P11" s="9"/>
      <c r="Q11" s="9"/>
      <c r="R11" s="9"/>
      <c r="S11" s="9"/>
      <c r="T11" s="103"/>
      <c r="U11" s="242">
        <v>1</v>
      </c>
      <c r="V11" s="255"/>
      <c r="W11" s="255"/>
      <c r="X11" s="255"/>
      <c r="Y11" s="255"/>
      <c r="Z11" s="256"/>
      <c r="AA11" s="96"/>
      <c r="AB11" s="1" t="s">
        <v>309</v>
      </c>
      <c r="AC11" s="1" t="s">
        <v>874</v>
      </c>
      <c r="AD11" s="274" t="s">
        <v>241</v>
      </c>
      <c r="AE11" s="90"/>
      <c r="AF11" s="97" t="s">
        <v>242</v>
      </c>
      <c r="AG11" s="94"/>
      <c r="AH11" s="206"/>
      <c r="AI11" s="149"/>
      <c r="AJ11" s="149"/>
      <c r="AK11" s="149"/>
      <c r="AL11" s="149"/>
      <c r="AM11" s="149"/>
      <c r="AN11" s="149"/>
      <c r="AO11" s="149"/>
      <c r="AP11" s="149"/>
      <c r="AQ11" s="149"/>
      <c r="AR11" s="149"/>
      <c r="AS11" s="149"/>
      <c r="AT11" s="149"/>
      <c r="AU11" s="149"/>
      <c r="AV11" s="79">
        <f>$K11*'[1]Apportionment %'!Q24</f>
        <v>50120</v>
      </c>
      <c r="AW11" s="149"/>
      <c r="AX11" s="149"/>
      <c r="AY11" s="79">
        <f>$K11*'[1]Apportionment %'!T24</f>
        <v>22912</v>
      </c>
      <c r="AZ11" s="149"/>
      <c r="BA11" s="149"/>
      <c r="BB11" s="79">
        <f>$K11*'[1]Apportionment %'!W24</f>
        <v>18616</v>
      </c>
      <c r="BC11" s="149"/>
      <c r="BD11" s="149"/>
      <c r="BE11" s="149"/>
      <c r="BF11" s="79">
        <f>$K11*'[1]Apportionment %'!AA24</f>
        <v>14320</v>
      </c>
      <c r="BG11" s="149"/>
      <c r="BH11" s="149"/>
      <c r="BI11" s="46"/>
      <c r="BJ11" s="46"/>
      <c r="BK11" s="288" t="b">
        <f t="shared" si="0"/>
        <v>1</v>
      </c>
      <c r="BM11" s="356"/>
      <c r="BN11" s="360">
        <f t="shared" si="1"/>
        <v>0</v>
      </c>
      <c r="BO11" s="360">
        <f t="shared" si="2"/>
        <v>0</v>
      </c>
      <c r="BP11" s="360">
        <f t="shared" si="3"/>
        <v>0</v>
      </c>
      <c r="BQ11" s="360">
        <f t="shared" si="4"/>
        <v>0</v>
      </c>
      <c r="BR11" s="360">
        <f t="shared" si="5"/>
        <v>0</v>
      </c>
      <c r="BS11" s="360">
        <f t="shared" si="6"/>
        <v>0</v>
      </c>
      <c r="BT11" s="360">
        <f t="shared" si="7"/>
        <v>0</v>
      </c>
      <c r="BU11" s="360">
        <f t="shared" si="8"/>
        <v>0</v>
      </c>
      <c r="BV11" s="360">
        <f t="shared" si="9"/>
        <v>0</v>
      </c>
      <c r="BW11" s="360">
        <f t="shared" si="10"/>
        <v>0</v>
      </c>
      <c r="BX11" s="360">
        <f t="shared" si="11"/>
        <v>0</v>
      </c>
      <c r="BY11" s="360">
        <f t="shared" si="12"/>
        <v>0</v>
      </c>
      <c r="BZ11" s="360">
        <f t="shared" si="13"/>
        <v>0</v>
      </c>
      <c r="CA11" s="360">
        <f t="shared" si="14"/>
        <v>0</v>
      </c>
      <c r="CB11" s="360">
        <f t="shared" si="15"/>
        <v>0</v>
      </c>
      <c r="CC11" s="360">
        <f t="shared" si="16"/>
        <v>0</v>
      </c>
      <c r="CD11" s="360">
        <f t="shared" si="17"/>
        <v>0</v>
      </c>
      <c r="CE11" s="360">
        <f t="shared" si="18"/>
        <v>0</v>
      </c>
      <c r="CF11" s="360">
        <f t="shared" si="19"/>
        <v>0</v>
      </c>
      <c r="CG11" s="360">
        <f t="shared" si="20"/>
        <v>0</v>
      </c>
      <c r="CH11" s="360">
        <f t="shared" si="21"/>
        <v>0</v>
      </c>
      <c r="CI11" s="360">
        <f t="shared" si="22"/>
        <v>0</v>
      </c>
      <c r="CJ11" s="360">
        <f t="shared" si="23"/>
        <v>0</v>
      </c>
      <c r="CK11" s="360">
        <f t="shared" si="24"/>
        <v>0</v>
      </c>
      <c r="CL11" s="360">
        <f t="shared" si="25"/>
        <v>0</v>
      </c>
      <c r="CM11" s="360">
        <f t="shared" si="26"/>
        <v>0</v>
      </c>
      <c r="CN11" s="360">
        <f t="shared" si="27"/>
        <v>0</v>
      </c>
      <c r="CO11" s="360">
        <f t="shared" si="28"/>
        <v>0</v>
      </c>
      <c r="CP11" s="360">
        <f t="shared" si="29"/>
        <v>0</v>
      </c>
      <c r="CQ11" s="360">
        <f t="shared" si="30"/>
        <v>0</v>
      </c>
      <c r="CR11" s="360">
        <f t="shared" si="31"/>
        <v>0</v>
      </c>
      <c r="CS11" s="360">
        <f t="shared" si="32"/>
        <v>0</v>
      </c>
      <c r="CT11" s="360">
        <f t="shared" si="33"/>
        <v>0</v>
      </c>
      <c r="CU11" s="360">
        <f t="shared" si="34"/>
        <v>0</v>
      </c>
      <c r="CV11" s="360">
        <f t="shared" si="35"/>
        <v>0</v>
      </c>
      <c r="CW11" s="360">
        <f t="shared" si="36"/>
        <v>0</v>
      </c>
      <c r="CX11" s="360">
        <f t="shared" si="37"/>
        <v>0</v>
      </c>
      <c r="CY11" s="360">
        <f t="shared" si="38"/>
        <v>0</v>
      </c>
      <c r="CZ11" s="360">
        <f t="shared" si="39"/>
        <v>0</v>
      </c>
      <c r="DA11" s="360">
        <f t="shared" si="40"/>
        <v>0</v>
      </c>
      <c r="DB11" s="360">
        <f t="shared" si="41"/>
        <v>0</v>
      </c>
      <c r="DC11" s="360">
        <f t="shared" si="42"/>
        <v>0</v>
      </c>
      <c r="DD11" s="360">
        <f t="shared" si="43"/>
        <v>0</v>
      </c>
      <c r="DE11" s="360">
        <f t="shared" si="44"/>
        <v>0</v>
      </c>
      <c r="DF11" s="360">
        <f t="shared" si="45"/>
        <v>0</v>
      </c>
      <c r="DG11" s="360">
        <f t="shared" si="46"/>
        <v>0</v>
      </c>
      <c r="DH11" s="360">
        <f t="shared" si="47"/>
        <v>0</v>
      </c>
      <c r="DI11" s="360">
        <f t="shared" si="48"/>
        <v>0</v>
      </c>
    </row>
    <row r="12" spans="1:113" ht="56" x14ac:dyDescent="0.3">
      <c r="A12" s="55" t="s">
        <v>915</v>
      </c>
      <c r="B12" s="90" t="s">
        <v>916</v>
      </c>
      <c r="C12" s="1" t="s">
        <v>917</v>
      </c>
      <c r="D12" s="145" t="s">
        <v>443</v>
      </c>
      <c r="E12" s="1" t="s">
        <v>902</v>
      </c>
      <c r="F12" s="109" t="s">
        <v>870</v>
      </c>
      <c r="G12" s="111">
        <f>'[1]Costs (Arup)'!D35*('[1]Costs (Arup)'!F11*8)</f>
        <v>128755</v>
      </c>
      <c r="H12" s="114" t="s">
        <v>871</v>
      </c>
      <c r="I12" s="57">
        <v>0</v>
      </c>
      <c r="J12" s="57">
        <f t="shared" si="49"/>
        <v>128755</v>
      </c>
      <c r="K12" s="112">
        <f>1432*'[1]Apportionment %'!B25</f>
        <v>83056</v>
      </c>
      <c r="L12" s="147" t="s">
        <v>911</v>
      </c>
      <c r="M12" s="389">
        <f t="shared" si="51"/>
        <v>45699</v>
      </c>
      <c r="N12" s="100" t="s">
        <v>308</v>
      </c>
      <c r="O12" s="98"/>
      <c r="P12" s="9"/>
      <c r="Q12" s="9"/>
      <c r="R12" s="9"/>
      <c r="S12" s="9"/>
      <c r="T12" s="103"/>
      <c r="U12" s="242">
        <v>1</v>
      </c>
      <c r="V12" s="255"/>
      <c r="W12" s="255"/>
      <c r="X12" s="255"/>
      <c r="Y12" s="255"/>
      <c r="Z12" s="256"/>
      <c r="AA12" s="96"/>
      <c r="AB12" s="1" t="s">
        <v>309</v>
      </c>
      <c r="AC12" s="1" t="s">
        <v>874</v>
      </c>
      <c r="AD12" s="274" t="s">
        <v>241</v>
      </c>
      <c r="AE12" s="90"/>
      <c r="AF12" s="97" t="s">
        <v>242</v>
      </c>
      <c r="AG12" s="94"/>
      <c r="AH12" s="206"/>
      <c r="AI12" s="149"/>
      <c r="AJ12" s="149"/>
      <c r="AK12" s="149"/>
      <c r="AL12" s="149"/>
      <c r="AM12" s="149"/>
      <c r="AN12" s="149"/>
      <c r="AO12" s="149"/>
      <c r="AP12" s="149"/>
      <c r="AQ12" s="149"/>
      <c r="AR12" s="149"/>
      <c r="AS12" s="149"/>
      <c r="AT12" s="149"/>
      <c r="AU12" s="79">
        <f>$K12*'[1]Apportionment %'!P25</f>
        <v>50120</v>
      </c>
      <c r="AV12" s="149"/>
      <c r="AW12" s="79">
        <f>$K12*'[1]Apportionment %'!R25</f>
        <v>32936</v>
      </c>
      <c r="AX12" s="149"/>
      <c r="AY12" s="149"/>
      <c r="AZ12" s="149"/>
      <c r="BA12" s="149"/>
      <c r="BB12" s="149"/>
      <c r="BC12" s="149"/>
      <c r="BD12" s="149"/>
      <c r="BE12" s="149"/>
      <c r="BF12" s="149"/>
      <c r="BG12" s="149"/>
      <c r="BH12" s="149"/>
      <c r="BI12" s="46"/>
      <c r="BJ12" s="46"/>
      <c r="BK12" s="288" t="b">
        <f t="shared" si="0"/>
        <v>1</v>
      </c>
      <c r="BM12" s="356"/>
      <c r="BN12" s="360">
        <f t="shared" si="1"/>
        <v>0</v>
      </c>
      <c r="BO12" s="360">
        <f t="shared" si="2"/>
        <v>0</v>
      </c>
      <c r="BP12" s="360">
        <f t="shared" si="3"/>
        <v>0</v>
      </c>
      <c r="BQ12" s="360">
        <f t="shared" si="4"/>
        <v>0</v>
      </c>
      <c r="BR12" s="360">
        <f t="shared" si="5"/>
        <v>0</v>
      </c>
      <c r="BS12" s="360">
        <f t="shared" si="6"/>
        <v>0</v>
      </c>
      <c r="BT12" s="360">
        <f t="shared" si="7"/>
        <v>0</v>
      </c>
      <c r="BU12" s="360">
        <f t="shared" si="8"/>
        <v>0</v>
      </c>
      <c r="BV12" s="360">
        <f t="shared" si="9"/>
        <v>0</v>
      </c>
      <c r="BW12" s="360">
        <f t="shared" si="10"/>
        <v>0</v>
      </c>
      <c r="BX12" s="360">
        <f t="shared" si="11"/>
        <v>0</v>
      </c>
      <c r="BY12" s="360">
        <f t="shared" si="12"/>
        <v>0</v>
      </c>
      <c r="BZ12" s="360">
        <f t="shared" si="13"/>
        <v>0</v>
      </c>
      <c r="CA12" s="360">
        <f t="shared" si="14"/>
        <v>0</v>
      </c>
      <c r="CB12" s="360">
        <f t="shared" si="15"/>
        <v>0</v>
      </c>
      <c r="CC12" s="360">
        <f t="shared" si="16"/>
        <v>0</v>
      </c>
      <c r="CD12" s="360">
        <f t="shared" si="17"/>
        <v>0</v>
      </c>
      <c r="CE12" s="360">
        <f t="shared" si="18"/>
        <v>0</v>
      </c>
      <c r="CF12" s="360">
        <f t="shared" si="19"/>
        <v>0</v>
      </c>
      <c r="CG12" s="360">
        <f t="shared" si="20"/>
        <v>0</v>
      </c>
      <c r="CH12" s="360">
        <f t="shared" si="21"/>
        <v>0</v>
      </c>
      <c r="CI12" s="360">
        <f t="shared" si="22"/>
        <v>0</v>
      </c>
      <c r="CJ12" s="360">
        <f t="shared" si="23"/>
        <v>0</v>
      </c>
      <c r="CK12" s="360">
        <f t="shared" si="24"/>
        <v>0</v>
      </c>
      <c r="CL12" s="360">
        <f t="shared" si="25"/>
        <v>0</v>
      </c>
      <c r="CM12" s="360">
        <f t="shared" si="26"/>
        <v>0</v>
      </c>
      <c r="CN12" s="360">
        <f t="shared" si="27"/>
        <v>0</v>
      </c>
      <c r="CO12" s="360">
        <f t="shared" si="28"/>
        <v>0</v>
      </c>
      <c r="CP12" s="360">
        <f t="shared" si="29"/>
        <v>0</v>
      </c>
      <c r="CQ12" s="360">
        <f t="shared" si="30"/>
        <v>0</v>
      </c>
      <c r="CR12" s="360">
        <f t="shared" si="31"/>
        <v>0</v>
      </c>
      <c r="CS12" s="360">
        <f t="shared" si="32"/>
        <v>0</v>
      </c>
      <c r="CT12" s="360">
        <f t="shared" si="33"/>
        <v>0</v>
      </c>
      <c r="CU12" s="360">
        <f t="shared" si="34"/>
        <v>0</v>
      </c>
      <c r="CV12" s="360">
        <f t="shared" si="35"/>
        <v>0</v>
      </c>
      <c r="CW12" s="360">
        <f t="shared" si="36"/>
        <v>0</v>
      </c>
      <c r="CX12" s="360">
        <f t="shared" si="37"/>
        <v>0</v>
      </c>
      <c r="CY12" s="360">
        <f t="shared" si="38"/>
        <v>0</v>
      </c>
      <c r="CZ12" s="360">
        <f t="shared" si="39"/>
        <v>0</v>
      </c>
      <c r="DA12" s="360">
        <f t="shared" si="40"/>
        <v>0</v>
      </c>
      <c r="DB12" s="360">
        <f t="shared" si="41"/>
        <v>0</v>
      </c>
      <c r="DC12" s="360">
        <f t="shared" si="42"/>
        <v>0</v>
      </c>
      <c r="DD12" s="360">
        <f t="shared" si="43"/>
        <v>0</v>
      </c>
      <c r="DE12" s="360">
        <f t="shared" si="44"/>
        <v>0</v>
      </c>
      <c r="DF12" s="360">
        <f t="shared" si="45"/>
        <v>0</v>
      </c>
      <c r="DG12" s="360">
        <f t="shared" si="46"/>
        <v>0</v>
      </c>
      <c r="DH12" s="360">
        <f t="shared" si="47"/>
        <v>0</v>
      </c>
      <c r="DI12" s="360">
        <f t="shared" si="48"/>
        <v>0</v>
      </c>
    </row>
    <row r="13" spans="1:113" ht="56" x14ac:dyDescent="0.3">
      <c r="A13" s="55" t="s">
        <v>918</v>
      </c>
      <c r="B13" s="90" t="s">
        <v>919</v>
      </c>
      <c r="C13" s="1" t="s">
        <v>920</v>
      </c>
      <c r="D13" s="145" t="s">
        <v>443</v>
      </c>
      <c r="E13" s="1" t="s">
        <v>902</v>
      </c>
      <c r="F13" s="109" t="s">
        <v>870</v>
      </c>
      <c r="G13" s="111">
        <f>'[1]Costs (Arup)'!D35*('[1]Costs (Arup)'!F11*2)</f>
        <v>32188.75</v>
      </c>
      <c r="H13" s="114" t="s">
        <v>871</v>
      </c>
      <c r="I13" s="57">
        <v>0</v>
      </c>
      <c r="J13" s="57">
        <f t="shared" si="49"/>
        <v>32188.75</v>
      </c>
      <c r="K13" s="112">
        <v>0</v>
      </c>
      <c r="L13" s="147" t="s">
        <v>921</v>
      </c>
      <c r="M13" s="389">
        <f t="shared" si="51"/>
        <v>32188.75</v>
      </c>
      <c r="N13" s="100" t="s">
        <v>903</v>
      </c>
      <c r="O13" s="98"/>
      <c r="P13" s="98"/>
      <c r="Q13" s="9"/>
      <c r="R13" s="9"/>
      <c r="S13" s="9"/>
      <c r="T13" s="103"/>
      <c r="U13" s="252"/>
      <c r="V13" s="252"/>
      <c r="W13" s="255"/>
      <c r="X13" s="255"/>
      <c r="Y13" s="255"/>
      <c r="Z13" s="256"/>
      <c r="AA13" s="96" t="s">
        <v>922</v>
      </c>
      <c r="AB13" s="1" t="s">
        <v>309</v>
      </c>
      <c r="AC13" s="1" t="s">
        <v>874</v>
      </c>
      <c r="AD13" s="274" t="s">
        <v>241</v>
      </c>
      <c r="AE13" s="90"/>
      <c r="AF13" s="97" t="s">
        <v>242</v>
      </c>
      <c r="AG13" s="94" t="s">
        <v>293</v>
      </c>
      <c r="AH13" s="206"/>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46"/>
      <c r="BJ13" s="46"/>
      <c r="BK13" s="288" t="b">
        <f t="shared" si="0"/>
        <v>1</v>
      </c>
      <c r="BM13" s="356"/>
      <c r="BN13" s="360">
        <f t="shared" si="1"/>
        <v>0</v>
      </c>
      <c r="BO13" s="360">
        <f t="shared" si="2"/>
        <v>0</v>
      </c>
      <c r="BP13" s="360">
        <f t="shared" si="3"/>
        <v>0</v>
      </c>
      <c r="BQ13" s="360">
        <f t="shared" si="4"/>
        <v>0</v>
      </c>
      <c r="BR13" s="360">
        <f t="shared" si="5"/>
        <v>0</v>
      </c>
      <c r="BS13" s="360">
        <f t="shared" si="6"/>
        <v>0</v>
      </c>
      <c r="BT13" s="360">
        <f t="shared" si="7"/>
        <v>0</v>
      </c>
      <c r="BU13" s="360">
        <f t="shared" si="8"/>
        <v>0</v>
      </c>
      <c r="BV13" s="360">
        <f t="shared" si="9"/>
        <v>0</v>
      </c>
      <c r="BW13" s="360">
        <f t="shared" si="10"/>
        <v>0</v>
      </c>
      <c r="BX13" s="360">
        <f t="shared" si="11"/>
        <v>0</v>
      </c>
      <c r="BY13" s="360">
        <f t="shared" si="12"/>
        <v>0</v>
      </c>
      <c r="BZ13" s="360">
        <f t="shared" si="13"/>
        <v>0</v>
      </c>
      <c r="CA13" s="360">
        <f t="shared" si="14"/>
        <v>0</v>
      </c>
      <c r="CB13" s="360">
        <f t="shared" si="15"/>
        <v>0</v>
      </c>
      <c r="CC13" s="360">
        <f t="shared" si="16"/>
        <v>0</v>
      </c>
      <c r="CD13" s="360">
        <f t="shared" si="17"/>
        <v>0</v>
      </c>
      <c r="CE13" s="360">
        <f t="shared" si="18"/>
        <v>0</v>
      </c>
      <c r="CF13" s="360">
        <f t="shared" si="19"/>
        <v>0</v>
      </c>
      <c r="CG13" s="360">
        <f t="shared" si="20"/>
        <v>0</v>
      </c>
      <c r="CH13" s="360">
        <f t="shared" si="21"/>
        <v>0</v>
      </c>
      <c r="CI13" s="360">
        <f t="shared" si="22"/>
        <v>0</v>
      </c>
      <c r="CJ13" s="360">
        <f t="shared" si="23"/>
        <v>0</v>
      </c>
      <c r="CK13" s="360">
        <f t="shared" si="24"/>
        <v>0</v>
      </c>
      <c r="CL13" s="360">
        <f t="shared" si="25"/>
        <v>0</v>
      </c>
      <c r="CM13" s="360">
        <f t="shared" si="26"/>
        <v>0</v>
      </c>
      <c r="CN13" s="360">
        <f t="shared" si="27"/>
        <v>0</v>
      </c>
      <c r="CO13" s="360">
        <f t="shared" si="28"/>
        <v>0</v>
      </c>
      <c r="CP13" s="360">
        <f t="shared" si="29"/>
        <v>0</v>
      </c>
      <c r="CQ13" s="360">
        <f t="shared" si="30"/>
        <v>0</v>
      </c>
      <c r="CR13" s="360">
        <f t="shared" si="31"/>
        <v>0</v>
      </c>
      <c r="CS13" s="360">
        <f t="shared" si="32"/>
        <v>0</v>
      </c>
      <c r="CT13" s="360">
        <f t="shared" si="33"/>
        <v>0</v>
      </c>
      <c r="CU13" s="360">
        <f t="shared" si="34"/>
        <v>0</v>
      </c>
      <c r="CV13" s="360">
        <f t="shared" si="35"/>
        <v>0</v>
      </c>
      <c r="CW13" s="360">
        <f t="shared" si="36"/>
        <v>0</v>
      </c>
      <c r="CX13" s="360">
        <f t="shared" si="37"/>
        <v>0</v>
      </c>
      <c r="CY13" s="360">
        <f t="shared" si="38"/>
        <v>0</v>
      </c>
      <c r="CZ13" s="360">
        <f t="shared" si="39"/>
        <v>0</v>
      </c>
      <c r="DA13" s="360">
        <f t="shared" si="40"/>
        <v>0</v>
      </c>
      <c r="DB13" s="360">
        <f t="shared" si="41"/>
        <v>0</v>
      </c>
      <c r="DC13" s="360">
        <f t="shared" si="42"/>
        <v>0</v>
      </c>
      <c r="DD13" s="360">
        <f t="shared" si="43"/>
        <v>0</v>
      </c>
      <c r="DE13" s="360">
        <f t="shared" si="44"/>
        <v>0</v>
      </c>
      <c r="DF13" s="360">
        <f t="shared" si="45"/>
        <v>0</v>
      </c>
      <c r="DG13" s="360">
        <f t="shared" si="46"/>
        <v>0</v>
      </c>
      <c r="DH13" s="360">
        <f t="shared" si="47"/>
        <v>0</v>
      </c>
      <c r="DI13" s="360">
        <f t="shared" si="48"/>
        <v>0</v>
      </c>
    </row>
    <row r="14" spans="1:113" ht="56" x14ac:dyDescent="0.3">
      <c r="A14" s="55" t="s">
        <v>923</v>
      </c>
      <c r="B14" s="90" t="s">
        <v>924</v>
      </c>
      <c r="C14" s="1" t="s">
        <v>925</v>
      </c>
      <c r="D14" s="145" t="s">
        <v>443</v>
      </c>
      <c r="E14" s="1" t="s">
        <v>902</v>
      </c>
      <c r="F14" s="109" t="s">
        <v>870</v>
      </c>
      <c r="G14" s="111">
        <f>'[1]Costs (Arup)'!D35*('[1]Costs (Arup)'!F11*1)</f>
        <v>16094.375</v>
      </c>
      <c r="H14" s="114" t="s">
        <v>871</v>
      </c>
      <c r="I14" s="57">
        <v>0</v>
      </c>
      <c r="J14" s="57">
        <f t="shared" si="49"/>
        <v>16094.375</v>
      </c>
      <c r="K14" s="112">
        <f t="shared" si="50"/>
        <v>16094.375</v>
      </c>
      <c r="L14" s="147" t="s">
        <v>872</v>
      </c>
      <c r="M14" s="389">
        <f t="shared" si="51"/>
        <v>0</v>
      </c>
      <c r="N14" s="100" t="s">
        <v>903</v>
      </c>
      <c r="O14" s="98"/>
      <c r="P14" s="98"/>
      <c r="Q14" s="9"/>
      <c r="R14" s="9"/>
      <c r="S14" s="9"/>
      <c r="T14" s="103"/>
      <c r="U14" s="252"/>
      <c r="V14" s="252"/>
      <c r="W14" s="255"/>
      <c r="X14" s="255"/>
      <c r="Y14" s="255"/>
      <c r="Z14" s="256"/>
      <c r="AA14" s="96"/>
      <c r="AB14" s="1" t="s">
        <v>309</v>
      </c>
      <c r="AC14" s="1" t="s">
        <v>874</v>
      </c>
      <c r="AD14" s="274" t="s">
        <v>241</v>
      </c>
      <c r="AE14" s="90"/>
      <c r="AF14" s="97" t="s">
        <v>242</v>
      </c>
      <c r="AG14" s="94"/>
      <c r="AH14" s="206"/>
      <c r="AI14" s="149"/>
      <c r="AJ14" s="149"/>
      <c r="AK14" s="149"/>
      <c r="AL14" s="149"/>
      <c r="AM14" s="149"/>
      <c r="AN14" s="149"/>
      <c r="AO14" s="149"/>
      <c r="AP14" s="149"/>
      <c r="AQ14" s="149"/>
      <c r="AR14" s="149"/>
      <c r="AS14" s="79">
        <f>$K14*'[1]Apportionment %'!N27</f>
        <v>8160.5281690140846</v>
      </c>
      <c r="AT14" s="79">
        <f>$K14*'[1]Apportionment %'!O27</f>
        <v>7933.8468309859154</v>
      </c>
      <c r="AU14" s="149"/>
      <c r="AV14" s="149"/>
      <c r="AW14" s="149"/>
      <c r="AX14" s="149"/>
      <c r="AY14" s="149"/>
      <c r="AZ14" s="149"/>
      <c r="BA14" s="149"/>
      <c r="BB14" s="149"/>
      <c r="BC14" s="149"/>
      <c r="BD14" s="149"/>
      <c r="BE14" s="149"/>
      <c r="BF14" s="149"/>
      <c r="BG14" s="149"/>
      <c r="BH14" s="149"/>
      <c r="BI14" s="46"/>
      <c r="BJ14" s="46"/>
      <c r="BK14" s="288" t="b">
        <f t="shared" si="0"/>
        <v>1</v>
      </c>
      <c r="BM14" s="356"/>
      <c r="BN14" s="360">
        <f t="shared" si="1"/>
        <v>0</v>
      </c>
      <c r="BO14" s="360">
        <f t="shared" si="2"/>
        <v>0</v>
      </c>
      <c r="BP14" s="360">
        <f t="shared" si="3"/>
        <v>0</v>
      </c>
      <c r="BQ14" s="360">
        <f t="shared" si="4"/>
        <v>0</v>
      </c>
      <c r="BR14" s="360">
        <f t="shared" si="5"/>
        <v>0</v>
      </c>
      <c r="BS14" s="360">
        <f t="shared" si="6"/>
        <v>0</v>
      </c>
      <c r="BT14" s="360">
        <f t="shared" si="7"/>
        <v>0</v>
      </c>
      <c r="BU14" s="360">
        <f t="shared" si="8"/>
        <v>0</v>
      </c>
      <c r="BV14" s="360">
        <f t="shared" si="9"/>
        <v>0</v>
      </c>
      <c r="BW14" s="360">
        <f t="shared" si="10"/>
        <v>0</v>
      </c>
      <c r="BX14" s="360">
        <f t="shared" si="11"/>
        <v>0</v>
      </c>
      <c r="BY14" s="360">
        <f t="shared" si="12"/>
        <v>0</v>
      </c>
      <c r="BZ14" s="360">
        <f t="shared" si="13"/>
        <v>0</v>
      </c>
      <c r="CA14" s="360">
        <f t="shared" si="14"/>
        <v>0</v>
      </c>
      <c r="CB14" s="360">
        <f t="shared" si="15"/>
        <v>0</v>
      </c>
      <c r="CC14" s="360">
        <f t="shared" si="16"/>
        <v>0</v>
      </c>
      <c r="CD14" s="360">
        <f t="shared" si="17"/>
        <v>0</v>
      </c>
      <c r="CE14" s="360">
        <f t="shared" si="18"/>
        <v>0</v>
      </c>
      <c r="CF14" s="360">
        <f t="shared" si="19"/>
        <v>0</v>
      </c>
      <c r="CG14" s="360">
        <f t="shared" si="20"/>
        <v>0</v>
      </c>
      <c r="CH14" s="360">
        <f t="shared" si="21"/>
        <v>0</v>
      </c>
      <c r="CI14" s="360">
        <f t="shared" si="22"/>
        <v>0</v>
      </c>
      <c r="CJ14" s="360">
        <f t="shared" si="23"/>
        <v>0</v>
      </c>
      <c r="CK14" s="360">
        <f t="shared" si="24"/>
        <v>0</v>
      </c>
      <c r="CL14" s="360">
        <f t="shared" si="25"/>
        <v>0</v>
      </c>
      <c r="CM14" s="360">
        <f t="shared" si="26"/>
        <v>0</v>
      </c>
      <c r="CN14" s="360">
        <f t="shared" si="27"/>
        <v>0</v>
      </c>
      <c r="CO14" s="360">
        <f t="shared" si="28"/>
        <v>0</v>
      </c>
      <c r="CP14" s="360">
        <f t="shared" si="29"/>
        <v>0</v>
      </c>
      <c r="CQ14" s="360">
        <f t="shared" si="30"/>
        <v>0</v>
      </c>
      <c r="CR14" s="360">
        <f t="shared" si="31"/>
        <v>0</v>
      </c>
      <c r="CS14" s="360">
        <f t="shared" si="32"/>
        <v>0</v>
      </c>
      <c r="CT14" s="360">
        <f t="shared" si="33"/>
        <v>0</v>
      </c>
      <c r="CU14" s="360">
        <f t="shared" si="34"/>
        <v>0</v>
      </c>
      <c r="CV14" s="360">
        <f t="shared" si="35"/>
        <v>0</v>
      </c>
      <c r="CW14" s="360">
        <f t="shared" si="36"/>
        <v>0</v>
      </c>
      <c r="CX14" s="360">
        <f t="shared" si="37"/>
        <v>0</v>
      </c>
      <c r="CY14" s="360">
        <f t="shared" si="38"/>
        <v>0</v>
      </c>
      <c r="CZ14" s="360">
        <f t="shared" si="39"/>
        <v>0</v>
      </c>
      <c r="DA14" s="360">
        <f t="shared" si="40"/>
        <v>0</v>
      </c>
      <c r="DB14" s="360">
        <f t="shared" si="41"/>
        <v>0</v>
      </c>
      <c r="DC14" s="360">
        <f t="shared" si="42"/>
        <v>0</v>
      </c>
      <c r="DD14" s="360">
        <f t="shared" si="43"/>
        <v>0</v>
      </c>
      <c r="DE14" s="360">
        <f t="shared" si="44"/>
        <v>0</v>
      </c>
      <c r="DF14" s="360">
        <f t="shared" si="45"/>
        <v>0</v>
      </c>
      <c r="DG14" s="360">
        <f t="shared" si="46"/>
        <v>0</v>
      </c>
      <c r="DH14" s="360">
        <f t="shared" si="47"/>
        <v>0</v>
      </c>
      <c r="DI14" s="360">
        <f t="shared" si="48"/>
        <v>0</v>
      </c>
    </row>
    <row r="15" spans="1:113" ht="14" x14ac:dyDescent="0.3">
      <c r="A15" s="52" t="s">
        <v>926</v>
      </c>
      <c r="B15" s="144"/>
      <c r="C15" s="13"/>
      <c r="D15" s="13"/>
      <c r="E15" s="13"/>
      <c r="F15" s="155"/>
      <c r="G15" s="197"/>
      <c r="H15" s="23"/>
      <c r="I15" s="23"/>
      <c r="J15" s="23"/>
      <c r="K15" s="23"/>
      <c r="L15" s="23"/>
      <c r="M15" s="202"/>
      <c r="N15" s="200"/>
      <c r="O15" s="13"/>
      <c r="P15" s="13"/>
      <c r="Q15" s="13"/>
      <c r="R15" s="13"/>
      <c r="S15" s="13"/>
      <c r="T15" s="198"/>
      <c r="U15" s="257"/>
      <c r="V15" s="257"/>
      <c r="W15" s="257"/>
      <c r="X15" s="257"/>
      <c r="Y15" s="257"/>
      <c r="Z15" s="258"/>
      <c r="AA15" s="158"/>
      <c r="AB15" s="52"/>
      <c r="AC15" s="14"/>
      <c r="AD15" s="14"/>
      <c r="AE15" s="213"/>
      <c r="AF15" s="52"/>
      <c r="AG15" s="155"/>
      <c r="AH15" s="208"/>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288"/>
      <c r="BM15" s="356"/>
      <c r="BN15" s="239"/>
      <c r="BO15" s="239"/>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row>
    <row r="16" spans="1:113" ht="70" x14ac:dyDescent="0.3">
      <c r="A16" s="55" t="s">
        <v>927</v>
      </c>
      <c r="B16" s="90" t="s">
        <v>928</v>
      </c>
      <c r="C16" s="6" t="s">
        <v>929</v>
      </c>
      <c r="D16" s="146" t="s">
        <v>443</v>
      </c>
      <c r="E16" s="1" t="s">
        <v>930</v>
      </c>
      <c r="F16" s="109" t="s">
        <v>299</v>
      </c>
      <c r="G16" s="111">
        <v>7481000</v>
      </c>
      <c r="H16" s="114" t="s">
        <v>931</v>
      </c>
      <c r="I16" s="57">
        <v>0</v>
      </c>
      <c r="J16" s="57">
        <f>G16</f>
        <v>7481000</v>
      </c>
      <c r="K16" s="112">
        <f>SUM(AH16:BJ16)</f>
        <v>7151386.6408320013</v>
      </c>
      <c r="L16" s="147" t="s">
        <v>932</v>
      </c>
      <c r="M16" s="389">
        <f>J16-K16</f>
        <v>329613.35916799866</v>
      </c>
      <c r="N16" s="100" t="s">
        <v>316</v>
      </c>
      <c r="O16" s="9"/>
      <c r="P16" s="98"/>
      <c r="Q16" s="9"/>
      <c r="R16" s="9"/>
      <c r="S16" s="9"/>
      <c r="T16" s="103"/>
      <c r="U16" s="251"/>
      <c r="V16" s="242">
        <v>1</v>
      </c>
      <c r="W16" s="251"/>
      <c r="X16" s="251"/>
      <c r="Y16" s="251"/>
      <c r="Z16" s="253"/>
      <c r="AA16" s="100" t="s">
        <v>933</v>
      </c>
      <c r="AB16" s="6" t="s">
        <v>239</v>
      </c>
      <c r="AC16" s="1" t="s">
        <v>874</v>
      </c>
      <c r="AD16" s="274" t="s">
        <v>241</v>
      </c>
      <c r="AE16" s="90" t="s">
        <v>934</v>
      </c>
      <c r="AF16" s="97" t="s">
        <v>242</v>
      </c>
      <c r="AG16" s="94" t="s">
        <v>893</v>
      </c>
      <c r="AH16" s="164">
        <v>3929909.1300000004</v>
      </c>
      <c r="AI16" s="79">
        <v>2896605.022752</v>
      </c>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46"/>
      <c r="BJ16" s="79">
        <v>324872.48808000004</v>
      </c>
      <c r="BK16" s="288" t="b">
        <f t="shared" ref="BK16:BK23" si="52">K16=SUM(AH16:BJ16)</f>
        <v>1</v>
      </c>
      <c r="BM16" s="356"/>
      <c r="BN16" s="360">
        <f t="shared" si="1"/>
        <v>0</v>
      </c>
      <c r="BO16" s="360">
        <f t="shared" si="2"/>
        <v>3929909.1300000004</v>
      </c>
      <c r="BP16" s="360">
        <f t="shared" si="3"/>
        <v>0</v>
      </c>
      <c r="BQ16" s="360">
        <f t="shared" si="4"/>
        <v>0</v>
      </c>
      <c r="BR16" s="360">
        <f t="shared" si="5"/>
        <v>0</v>
      </c>
      <c r="BS16" s="360">
        <f t="shared" si="6"/>
        <v>0</v>
      </c>
      <c r="BT16" s="360">
        <f t="shared" si="7"/>
        <v>0</v>
      </c>
      <c r="BU16" s="360">
        <f t="shared" si="8"/>
        <v>2896605.022752</v>
      </c>
      <c r="BV16" s="360">
        <f t="shared" si="9"/>
        <v>0</v>
      </c>
      <c r="BW16" s="360">
        <f t="shared" si="10"/>
        <v>0</v>
      </c>
      <c r="BX16" s="360">
        <f t="shared" si="11"/>
        <v>0</v>
      </c>
      <c r="BY16" s="360">
        <f t="shared" si="12"/>
        <v>0</v>
      </c>
      <c r="BZ16" s="360">
        <f t="shared" si="13"/>
        <v>0</v>
      </c>
      <c r="CA16" s="360">
        <f t="shared" si="14"/>
        <v>0</v>
      </c>
      <c r="CB16" s="360">
        <f t="shared" si="15"/>
        <v>0</v>
      </c>
      <c r="CC16" s="360">
        <f t="shared" si="16"/>
        <v>0</v>
      </c>
      <c r="CD16" s="360">
        <f t="shared" si="17"/>
        <v>0</v>
      </c>
      <c r="CE16" s="360">
        <f t="shared" si="18"/>
        <v>0</v>
      </c>
      <c r="CF16" s="360">
        <f t="shared" si="19"/>
        <v>0</v>
      </c>
      <c r="CG16" s="360">
        <f t="shared" si="20"/>
        <v>0</v>
      </c>
      <c r="CH16" s="360">
        <f t="shared" si="21"/>
        <v>0</v>
      </c>
      <c r="CI16" s="360">
        <f t="shared" si="22"/>
        <v>0</v>
      </c>
      <c r="CJ16" s="360">
        <f t="shared" si="23"/>
        <v>0</v>
      </c>
      <c r="CK16" s="360">
        <f t="shared" si="24"/>
        <v>0</v>
      </c>
      <c r="CL16" s="360">
        <f t="shared" si="25"/>
        <v>0</v>
      </c>
      <c r="CM16" s="360">
        <f t="shared" si="26"/>
        <v>0</v>
      </c>
      <c r="CN16" s="360">
        <f t="shared" si="27"/>
        <v>0</v>
      </c>
      <c r="CO16" s="360">
        <f t="shared" si="28"/>
        <v>0</v>
      </c>
      <c r="CP16" s="360">
        <f t="shared" si="29"/>
        <v>0</v>
      </c>
      <c r="CQ16" s="360">
        <f t="shared" si="30"/>
        <v>0</v>
      </c>
      <c r="CR16" s="360">
        <f t="shared" si="31"/>
        <v>0</v>
      </c>
      <c r="CS16" s="360">
        <f t="shared" si="32"/>
        <v>0</v>
      </c>
      <c r="CT16" s="360">
        <f t="shared" si="33"/>
        <v>0</v>
      </c>
      <c r="CU16" s="360">
        <f t="shared" si="34"/>
        <v>0</v>
      </c>
      <c r="CV16" s="360">
        <f t="shared" si="35"/>
        <v>0</v>
      </c>
      <c r="CW16" s="360">
        <f t="shared" si="36"/>
        <v>0</v>
      </c>
      <c r="CX16" s="360">
        <f t="shared" si="37"/>
        <v>0</v>
      </c>
      <c r="CY16" s="360">
        <f t="shared" si="38"/>
        <v>0</v>
      </c>
      <c r="CZ16" s="360">
        <f t="shared" si="39"/>
        <v>0</v>
      </c>
      <c r="DA16" s="360">
        <f t="shared" si="40"/>
        <v>0</v>
      </c>
      <c r="DB16" s="360">
        <f t="shared" si="41"/>
        <v>0</v>
      </c>
      <c r="DC16" s="360">
        <f t="shared" si="42"/>
        <v>0</v>
      </c>
      <c r="DD16" s="360">
        <f t="shared" si="43"/>
        <v>0</v>
      </c>
      <c r="DE16" s="360">
        <f t="shared" si="44"/>
        <v>0</v>
      </c>
      <c r="DF16" s="360">
        <f t="shared" si="45"/>
        <v>0</v>
      </c>
      <c r="DG16" s="360">
        <f t="shared" si="46"/>
        <v>0</v>
      </c>
      <c r="DH16" s="360">
        <f t="shared" si="47"/>
        <v>0</v>
      </c>
      <c r="DI16" s="360">
        <f t="shared" si="48"/>
        <v>0</v>
      </c>
    </row>
    <row r="17" spans="1:144" ht="56" x14ac:dyDescent="0.3">
      <c r="A17" s="55" t="s">
        <v>935</v>
      </c>
      <c r="B17" s="90" t="s">
        <v>936</v>
      </c>
      <c r="C17" s="6" t="s">
        <v>937</v>
      </c>
      <c r="D17" s="265" t="s">
        <v>297</v>
      </c>
      <c r="E17" s="1" t="s">
        <v>298</v>
      </c>
      <c r="F17" s="109" t="s">
        <v>299</v>
      </c>
      <c r="G17" s="111">
        <v>7481000</v>
      </c>
      <c r="H17" s="114" t="s">
        <v>931</v>
      </c>
      <c r="I17" s="57" t="s">
        <v>371</v>
      </c>
      <c r="J17" s="57" t="s">
        <v>371</v>
      </c>
      <c r="K17" s="112" t="s">
        <v>371</v>
      </c>
      <c r="L17" s="147" t="s">
        <v>938</v>
      </c>
      <c r="M17" s="389" t="s">
        <v>371</v>
      </c>
      <c r="N17" s="100" t="s">
        <v>903</v>
      </c>
      <c r="O17" s="98"/>
      <c r="P17" s="98"/>
      <c r="Q17" s="9"/>
      <c r="R17" s="9"/>
      <c r="S17" s="9"/>
      <c r="T17" s="103"/>
      <c r="U17" s="252"/>
      <c r="V17" s="242">
        <v>1</v>
      </c>
      <c r="W17" s="255"/>
      <c r="X17" s="255"/>
      <c r="Y17" s="255"/>
      <c r="Z17" s="256"/>
      <c r="AA17" s="100" t="s">
        <v>939</v>
      </c>
      <c r="AB17" s="6" t="s">
        <v>309</v>
      </c>
      <c r="AC17" s="1" t="s">
        <v>874</v>
      </c>
      <c r="AD17" s="274" t="s">
        <v>241</v>
      </c>
      <c r="AE17" s="90" t="s">
        <v>940</v>
      </c>
      <c r="AF17" s="97" t="s">
        <v>242</v>
      </c>
      <c r="AG17" s="94" t="s">
        <v>941</v>
      </c>
      <c r="AH17" s="206"/>
      <c r="AI17" s="206"/>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288" t="b">
        <f t="shared" si="52"/>
        <v>0</v>
      </c>
      <c r="BM17" s="356"/>
      <c r="BN17" s="360">
        <f t="shared" si="1"/>
        <v>0</v>
      </c>
      <c r="BO17" s="360">
        <f t="shared" si="2"/>
        <v>0</v>
      </c>
      <c r="BP17" s="360">
        <f t="shared" si="3"/>
        <v>0</v>
      </c>
      <c r="BQ17" s="360">
        <f t="shared" si="4"/>
        <v>0</v>
      </c>
      <c r="BR17" s="360">
        <f t="shared" si="5"/>
        <v>0</v>
      </c>
      <c r="BS17" s="360">
        <f t="shared" si="6"/>
        <v>0</v>
      </c>
      <c r="BT17" s="360">
        <f t="shared" si="7"/>
        <v>0</v>
      </c>
      <c r="BU17" s="360">
        <f t="shared" si="8"/>
        <v>0</v>
      </c>
      <c r="BV17" s="360">
        <f t="shared" si="9"/>
        <v>0</v>
      </c>
      <c r="BW17" s="360">
        <f t="shared" si="10"/>
        <v>0</v>
      </c>
      <c r="BX17" s="360">
        <f t="shared" si="11"/>
        <v>0</v>
      </c>
      <c r="BY17" s="360">
        <f t="shared" si="12"/>
        <v>0</v>
      </c>
      <c r="BZ17" s="360">
        <f t="shared" si="13"/>
        <v>0</v>
      </c>
      <c r="CA17" s="360">
        <f t="shared" si="14"/>
        <v>0</v>
      </c>
      <c r="CB17" s="360">
        <f t="shared" si="15"/>
        <v>0</v>
      </c>
      <c r="CC17" s="360">
        <f t="shared" si="16"/>
        <v>0</v>
      </c>
      <c r="CD17" s="360">
        <f t="shared" si="17"/>
        <v>0</v>
      </c>
      <c r="CE17" s="360">
        <f t="shared" si="18"/>
        <v>0</v>
      </c>
      <c r="CF17" s="360">
        <f t="shared" si="19"/>
        <v>0</v>
      </c>
      <c r="CG17" s="360">
        <f t="shared" si="20"/>
        <v>0</v>
      </c>
      <c r="CH17" s="360">
        <f t="shared" si="21"/>
        <v>0</v>
      </c>
      <c r="CI17" s="360">
        <f t="shared" si="22"/>
        <v>0</v>
      </c>
      <c r="CJ17" s="360">
        <f t="shared" si="23"/>
        <v>0</v>
      </c>
      <c r="CK17" s="360">
        <f t="shared" si="24"/>
        <v>0</v>
      </c>
      <c r="CL17" s="360">
        <f t="shared" si="25"/>
        <v>0</v>
      </c>
      <c r="CM17" s="360">
        <f t="shared" si="26"/>
        <v>0</v>
      </c>
      <c r="CN17" s="360">
        <f t="shared" si="27"/>
        <v>0</v>
      </c>
      <c r="CO17" s="360">
        <f t="shared" si="28"/>
        <v>0</v>
      </c>
      <c r="CP17" s="360">
        <f t="shared" si="29"/>
        <v>0</v>
      </c>
      <c r="CQ17" s="360">
        <f t="shared" si="30"/>
        <v>0</v>
      </c>
      <c r="CR17" s="360">
        <f t="shared" si="31"/>
        <v>0</v>
      </c>
      <c r="CS17" s="360">
        <f t="shared" si="32"/>
        <v>0</v>
      </c>
      <c r="CT17" s="360">
        <f t="shared" si="33"/>
        <v>0</v>
      </c>
      <c r="CU17" s="360">
        <f t="shared" si="34"/>
        <v>0</v>
      </c>
      <c r="CV17" s="360">
        <f t="shared" si="35"/>
        <v>0</v>
      </c>
      <c r="CW17" s="360">
        <f t="shared" si="36"/>
        <v>0</v>
      </c>
      <c r="CX17" s="360">
        <f t="shared" si="37"/>
        <v>0</v>
      </c>
      <c r="CY17" s="360">
        <f t="shared" si="38"/>
        <v>0</v>
      </c>
      <c r="CZ17" s="360">
        <f t="shared" si="39"/>
        <v>0</v>
      </c>
      <c r="DA17" s="360">
        <f t="shared" si="40"/>
        <v>0</v>
      </c>
      <c r="DB17" s="360">
        <f t="shared" si="41"/>
        <v>0</v>
      </c>
      <c r="DC17" s="360">
        <f t="shared" si="42"/>
        <v>0</v>
      </c>
      <c r="DD17" s="360">
        <f t="shared" si="43"/>
        <v>0</v>
      </c>
      <c r="DE17" s="360">
        <f t="shared" si="44"/>
        <v>0</v>
      </c>
      <c r="DF17" s="360">
        <f t="shared" si="45"/>
        <v>0</v>
      </c>
      <c r="DG17" s="360">
        <f t="shared" si="46"/>
        <v>0</v>
      </c>
      <c r="DH17" s="360">
        <f t="shared" si="47"/>
        <v>0</v>
      </c>
      <c r="DI17" s="360">
        <f t="shared" si="48"/>
        <v>0</v>
      </c>
    </row>
    <row r="18" spans="1:144" ht="84" x14ac:dyDescent="0.35">
      <c r="A18" s="55" t="s">
        <v>942</v>
      </c>
      <c r="B18" s="90" t="s">
        <v>943</v>
      </c>
      <c r="C18" s="6" t="s">
        <v>944</v>
      </c>
      <c r="D18" s="146" t="s">
        <v>443</v>
      </c>
      <c r="E18" s="1" t="s">
        <v>298</v>
      </c>
      <c r="F18" s="109" t="s">
        <v>299</v>
      </c>
      <c r="G18" s="111">
        <v>11400000</v>
      </c>
      <c r="H18" s="114" t="s">
        <v>931</v>
      </c>
      <c r="I18" s="57">
        <v>0</v>
      </c>
      <c r="J18" s="57">
        <f>G18-I18</f>
        <v>11400000</v>
      </c>
      <c r="K18" s="112">
        <f>SUM(AH18:BJ18)</f>
        <v>10727079.961248001</v>
      </c>
      <c r="L18" s="147" t="s">
        <v>932</v>
      </c>
      <c r="M18" s="389">
        <f t="shared" ref="M18:M23" si="53">J18-K18</f>
        <v>672920.03875199892</v>
      </c>
      <c r="N18" s="100" t="s">
        <v>316</v>
      </c>
      <c r="O18" s="9"/>
      <c r="P18" s="98"/>
      <c r="Q18" s="9"/>
      <c r="R18" s="9"/>
      <c r="S18" s="9"/>
      <c r="T18" s="103"/>
      <c r="U18" s="251"/>
      <c r="V18" s="242">
        <v>1</v>
      </c>
      <c r="W18" s="251"/>
      <c r="X18" s="251"/>
      <c r="Y18" s="251"/>
      <c r="Z18" s="253"/>
      <c r="AA18" s="100" t="s">
        <v>945</v>
      </c>
      <c r="AB18" s="1" t="s">
        <v>309</v>
      </c>
      <c r="AC18" s="1" t="s">
        <v>874</v>
      </c>
      <c r="AD18" s="274" t="s">
        <v>241</v>
      </c>
      <c r="AE18" s="90" t="s">
        <v>934</v>
      </c>
      <c r="AF18" s="97" t="s">
        <v>242</v>
      </c>
      <c r="AG18" s="94" t="s">
        <v>893</v>
      </c>
      <c r="AH18" s="206"/>
      <c r="AI18" s="79">
        <v>10727079.961248001</v>
      </c>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46"/>
      <c r="BJ18" s="46"/>
      <c r="BK18" s="288" t="b">
        <f t="shared" si="52"/>
        <v>1</v>
      </c>
      <c r="BN18" s="360">
        <f t="shared" si="1"/>
        <v>0</v>
      </c>
      <c r="BO18" s="360">
        <f t="shared" si="2"/>
        <v>0</v>
      </c>
      <c r="BP18" s="360">
        <f t="shared" si="3"/>
        <v>0</v>
      </c>
      <c r="BQ18" s="360">
        <f t="shared" si="4"/>
        <v>0</v>
      </c>
      <c r="BR18" s="360">
        <f t="shared" si="5"/>
        <v>0</v>
      </c>
      <c r="BS18" s="360">
        <f t="shared" si="6"/>
        <v>0</v>
      </c>
      <c r="BT18" s="360">
        <f t="shared" si="7"/>
        <v>0</v>
      </c>
      <c r="BU18" s="360">
        <f t="shared" si="8"/>
        <v>10727079.961248001</v>
      </c>
      <c r="BV18" s="360">
        <f t="shared" si="9"/>
        <v>0</v>
      </c>
      <c r="BW18" s="360">
        <f t="shared" si="10"/>
        <v>0</v>
      </c>
      <c r="BX18" s="360">
        <f t="shared" si="11"/>
        <v>0</v>
      </c>
      <c r="BY18" s="360">
        <f t="shared" si="12"/>
        <v>0</v>
      </c>
      <c r="BZ18" s="360">
        <f t="shared" si="13"/>
        <v>0</v>
      </c>
      <c r="CA18" s="360">
        <f t="shared" si="14"/>
        <v>0</v>
      </c>
      <c r="CB18" s="360">
        <f t="shared" si="15"/>
        <v>0</v>
      </c>
      <c r="CC18" s="360">
        <f t="shared" si="16"/>
        <v>0</v>
      </c>
      <c r="CD18" s="360">
        <f t="shared" si="17"/>
        <v>0</v>
      </c>
      <c r="CE18" s="360">
        <f t="shared" si="18"/>
        <v>0</v>
      </c>
      <c r="CF18" s="360">
        <f t="shared" si="19"/>
        <v>0</v>
      </c>
      <c r="CG18" s="360">
        <f t="shared" si="20"/>
        <v>0</v>
      </c>
      <c r="CH18" s="360">
        <f t="shared" si="21"/>
        <v>0</v>
      </c>
      <c r="CI18" s="360">
        <f t="shared" si="22"/>
        <v>0</v>
      </c>
      <c r="CJ18" s="360">
        <f t="shared" si="23"/>
        <v>0</v>
      </c>
      <c r="CK18" s="360">
        <f t="shared" si="24"/>
        <v>0</v>
      </c>
      <c r="CL18" s="360">
        <f t="shared" si="25"/>
        <v>0</v>
      </c>
      <c r="CM18" s="360">
        <f t="shared" si="26"/>
        <v>0</v>
      </c>
      <c r="CN18" s="360">
        <f t="shared" si="27"/>
        <v>0</v>
      </c>
      <c r="CO18" s="360">
        <f t="shared" si="28"/>
        <v>0</v>
      </c>
      <c r="CP18" s="360">
        <f t="shared" si="29"/>
        <v>0</v>
      </c>
      <c r="CQ18" s="360">
        <f t="shared" si="30"/>
        <v>0</v>
      </c>
      <c r="CR18" s="360">
        <f t="shared" si="31"/>
        <v>0</v>
      </c>
      <c r="CS18" s="360">
        <f t="shared" si="32"/>
        <v>0</v>
      </c>
      <c r="CT18" s="360">
        <f t="shared" si="33"/>
        <v>0</v>
      </c>
      <c r="CU18" s="360">
        <f t="shared" si="34"/>
        <v>0</v>
      </c>
      <c r="CV18" s="360">
        <f t="shared" si="35"/>
        <v>0</v>
      </c>
      <c r="CW18" s="360">
        <f t="shared" si="36"/>
        <v>0</v>
      </c>
      <c r="CX18" s="360">
        <f t="shared" si="37"/>
        <v>0</v>
      </c>
      <c r="CY18" s="360">
        <f t="shared" si="38"/>
        <v>0</v>
      </c>
      <c r="CZ18" s="360">
        <f t="shared" si="39"/>
        <v>0</v>
      </c>
      <c r="DA18" s="360">
        <f t="shared" si="40"/>
        <v>0</v>
      </c>
      <c r="DB18" s="360">
        <f t="shared" si="41"/>
        <v>0</v>
      </c>
      <c r="DC18" s="360">
        <f t="shared" si="42"/>
        <v>0</v>
      </c>
      <c r="DD18" s="360">
        <f t="shared" si="43"/>
        <v>0</v>
      </c>
      <c r="DE18" s="360">
        <f t="shared" si="44"/>
        <v>0</v>
      </c>
      <c r="DF18" s="360">
        <f t="shared" si="45"/>
        <v>0</v>
      </c>
      <c r="DG18" s="360">
        <f t="shared" si="46"/>
        <v>0</v>
      </c>
      <c r="DH18" s="360">
        <f t="shared" si="47"/>
        <v>0</v>
      </c>
      <c r="DI18" s="360">
        <f t="shared" si="48"/>
        <v>0</v>
      </c>
    </row>
    <row r="19" spans="1:144" ht="70" x14ac:dyDescent="0.35">
      <c r="A19" s="55" t="s">
        <v>946</v>
      </c>
      <c r="B19" s="390" t="s">
        <v>947</v>
      </c>
      <c r="C19" s="6" t="s">
        <v>948</v>
      </c>
      <c r="D19" s="146" t="s">
        <v>443</v>
      </c>
      <c r="E19" s="1" t="s">
        <v>930</v>
      </c>
      <c r="F19" s="109" t="s">
        <v>299</v>
      </c>
      <c r="G19" s="111">
        <v>7481000</v>
      </c>
      <c r="H19" s="114" t="s">
        <v>931</v>
      </c>
      <c r="I19" s="57">
        <v>0</v>
      </c>
      <c r="J19" s="57">
        <f>G19</f>
        <v>7481000</v>
      </c>
      <c r="K19" s="112">
        <f>SUM(AH19:BJ19)</f>
        <v>6681893.4967680015</v>
      </c>
      <c r="L19" s="147" t="s">
        <v>932</v>
      </c>
      <c r="M19" s="389">
        <f t="shared" si="53"/>
        <v>799106.50323199853</v>
      </c>
      <c r="N19" s="100" t="s">
        <v>316</v>
      </c>
      <c r="O19" s="9"/>
      <c r="P19" s="98"/>
      <c r="Q19" s="9"/>
      <c r="R19" s="9"/>
      <c r="S19" s="9"/>
      <c r="T19" s="103"/>
      <c r="U19" s="251"/>
      <c r="V19" s="242">
        <v>1</v>
      </c>
      <c r="W19" s="251"/>
      <c r="X19" s="251"/>
      <c r="Y19" s="251"/>
      <c r="Z19" s="253"/>
      <c r="AA19" s="100" t="s">
        <v>933</v>
      </c>
      <c r="AB19" s="6" t="s">
        <v>239</v>
      </c>
      <c r="AC19" s="1" t="s">
        <v>874</v>
      </c>
      <c r="AD19" s="274" t="s">
        <v>241</v>
      </c>
      <c r="AE19" s="90" t="s">
        <v>949</v>
      </c>
      <c r="AF19" s="97" t="s">
        <v>242</v>
      </c>
      <c r="AG19" s="94" t="s">
        <v>893</v>
      </c>
      <c r="AH19" s="206"/>
      <c r="AI19" s="149"/>
      <c r="AJ19" s="79">
        <v>5501872.7820000006</v>
      </c>
      <c r="AK19" s="79">
        <v>1180020.7147680004</v>
      </c>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46"/>
      <c r="BJ19" s="46"/>
      <c r="BK19" s="288" t="b">
        <f t="shared" si="52"/>
        <v>1</v>
      </c>
      <c r="BN19" s="360">
        <f t="shared" si="1"/>
        <v>0</v>
      </c>
      <c r="BO19" s="360">
        <f t="shared" si="2"/>
        <v>0</v>
      </c>
      <c r="BP19" s="360">
        <f t="shared" si="3"/>
        <v>0</v>
      </c>
      <c r="BQ19" s="360">
        <f t="shared" si="4"/>
        <v>0</v>
      </c>
      <c r="BR19" s="360">
        <f t="shared" si="5"/>
        <v>0</v>
      </c>
      <c r="BS19" s="360">
        <f t="shared" si="6"/>
        <v>0</v>
      </c>
      <c r="BT19" s="360">
        <f t="shared" si="7"/>
        <v>0</v>
      </c>
      <c r="BU19" s="360">
        <f t="shared" si="8"/>
        <v>0</v>
      </c>
      <c r="BV19" s="360">
        <f t="shared" si="9"/>
        <v>0</v>
      </c>
      <c r="BW19" s="360">
        <f t="shared" si="10"/>
        <v>0</v>
      </c>
      <c r="BX19" s="360">
        <f t="shared" si="11"/>
        <v>0</v>
      </c>
      <c r="BY19" s="360">
        <f t="shared" si="12"/>
        <v>0</v>
      </c>
      <c r="BZ19" s="360">
        <f t="shared" si="13"/>
        <v>0</v>
      </c>
      <c r="CA19" s="360">
        <f t="shared" si="14"/>
        <v>5501872.7820000006</v>
      </c>
      <c r="CB19" s="360">
        <f t="shared" si="15"/>
        <v>0</v>
      </c>
      <c r="CC19" s="360">
        <f t="shared" si="16"/>
        <v>0</v>
      </c>
      <c r="CD19" s="360">
        <f t="shared" si="17"/>
        <v>0</v>
      </c>
      <c r="CE19" s="360">
        <f t="shared" si="18"/>
        <v>0</v>
      </c>
      <c r="CF19" s="360">
        <f t="shared" si="19"/>
        <v>0</v>
      </c>
      <c r="CG19" s="360">
        <f t="shared" si="20"/>
        <v>1180020.7147680004</v>
      </c>
      <c r="CH19" s="360">
        <f t="shared" si="21"/>
        <v>0</v>
      </c>
      <c r="CI19" s="360">
        <f t="shared" si="22"/>
        <v>0</v>
      </c>
      <c r="CJ19" s="360">
        <f t="shared" si="23"/>
        <v>0</v>
      </c>
      <c r="CK19" s="360">
        <f t="shared" si="24"/>
        <v>0</v>
      </c>
      <c r="CL19" s="360">
        <f t="shared" si="25"/>
        <v>0</v>
      </c>
      <c r="CM19" s="360">
        <f t="shared" si="26"/>
        <v>0</v>
      </c>
      <c r="CN19" s="360">
        <f t="shared" si="27"/>
        <v>0</v>
      </c>
      <c r="CO19" s="360">
        <f t="shared" si="28"/>
        <v>0</v>
      </c>
      <c r="CP19" s="360">
        <f t="shared" si="29"/>
        <v>0</v>
      </c>
      <c r="CQ19" s="360">
        <f t="shared" si="30"/>
        <v>0</v>
      </c>
      <c r="CR19" s="360">
        <f t="shared" si="31"/>
        <v>0</v>
      </c>
      <c r="CS19" s="360">
        <f t="shared" si="32"/>
        <v>0</v>
      </c>
      <c r="CT19" s="360">
        <f t="shared" si="33"/>
        <v>0</v>
      </c>
      <c r="CU19" s="360">
        <f t="shared" si="34"/>
        <v>0</v>
      </c>
      <c r="CV19" s="360">
        <f t="shared" si="35"/>
        <v>0</v>
      </c>
      <c r="CW19" s="360">
        <f t="shared" si="36"/>
        <v>0</v>
      </c>
      <c r="CX19" s="360">
        <f t="shared" si="37"/>
        <v>0</v>
      </c>
      <c r="CY19" s="360">
        <f t="shared" si="38"/>
        <v>0</v>
      </c>
      <c r="CZ19" s="360">
        <f t="shared" si="39"/>
        <v>0</v>
      </c>
      <c r="DA19" s="360">
        <f t="shared" si="40"/>
        <v>0</v>
      </c>
      <c r="DB19" s="360">
        <f t="shared" si="41"/>
        <v>0</v>
      </c>
      <c r="DC19" s="360">
        <f t="shared" si="42"/>
        <v>0</v>
      </c>
      <c r="DD19" s="360">
        <f t="shared" si="43"/>
        <v>0</v>
      </c>
      <c r="DE19" s="360">
        <f t="shared" si="44"/>
        <v>0</v>
      </c>
      <c r="DF19" s="360">
        <f t="shared" si="45"/>
        <v>0</v>
      </c>
      <c r="DG19" s="360">
        <f t="shared" si="46"/>
        <v>0</v>
      </c>
      <c r="DH19" s="360">
        <f t="shared" si="47"/>
        <v>0</v>
      </c>
      <c r="DI19" s="360">
        <f t="shared" si="48"/>
        <v>0</v>
      </c>
    </row>
    <row r="20" spans="1:144" ht="70" x14ac:dyDescent="0.35">
      <c r="A20" s="55" t="s">
        <v>950</v>
      </c>
      <c r="B20" s="390" t="s">
        <v>951</v>
      </c>
      <c r="C20" s="6" t="s">
        <v>952</v>
      </c>
      <c r="D20" s="146" t="s">
        <v>443</v>
      </c>
      <c r="E20" s="1" t="s">
        <v>930</v>
      </c>
      <c r="F20" s="109" t="s">
        <v>299</v>
      </c>
      <c r="G20" s="111">
        <v>11400000</v>
      </c>
      <c r="H20" s="114" t="s">
        <v>931</v>
      </c>
      <c r="I20" s="57">
        <v>0</v>
      </c>
      <c r="J20" s="57">
        <f>G20</f>
        <v>11400000</v>
      </c>
      <c r="K20" s="112">
        <f>SUM(AH20:BJ20)</f>
        <v>10022840.245152</v>
      </c>
      <c r="L20" s="147" t="s">
        <v>932</v>
      </c>
      <c r="M20" s="389">
        <f t="shared" si="53"/>
        <v>1377159.7548479997</v>
      </c>
      <c r="N20" s="100" t="s">
        <v>316</v>
      </c>
      <c r="O20" s="9"/>
      <c r="P20" s="98"/>
      <c r="Q20" s="9"/>
      <c r="R20" s="9"/>
      <c r="S20" s="9"/>
      <c r="T20" s="103"/>
      <c r="U20" s="251"/>
      <c r="V20" s="242">
        <v>1</v>
      </c>
      <c r="W20" s="251"/>
      <c r="X20" s="251"/>
      <c r="Y20" s="251"/>
      <c r="Z20" s="253"/>
      <c r="AA20" s="100" t="s">
        <v>933</v>
      </c>
      <c r="AB20" s="6" t="s">
        <v>239</v>
      </c>
      <c r="AC20" s="1" t="s">
        <v>874</v>
      </c>
      <c r="AD20" s="274" t="s">
        <v>241</v>
      </c>
      <c r="AE20" s="90" t="s">
        <v>953</v>
      </c>
      <c r="AF20" s="97" t="s">
        <v>242</v>
      </c>
      <c r="AG20" s="94" t="s">
        <v>941</v>
      </c>
      <c r="AH20" s="206"/>
      <c r="AI20" s="149"/>
      <c r="AJ20" s="149"/>
      <c r="AK20" s="79">
        <v>3048561.509112</v>
      </c>
      <c r="AL20" s="79">
        <v>6974278.7360400008</v>
      </c>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46"/>
      <c r="BJ20" s="46"/>
      <c r="BK20" s="288" t="b">
        <f t="shared" si="52"/>
        <v>1</v>
      </c>
      <c r="BN20" s="360">
        <f t="shared" si="1"/>
        <v>0</v>
      </c>
      <c r="BO20" s="360">
        <f t="shared" si="2"/>
        <v>0</v>
      </c>
      <c r="BP20" s="360">
        <f t="shared" si="3"/>
        <v>0</v>
      </c>
      <c r="BQ20" s="360">
        <f t="shared" si="4"/>
        <v>0</v>
      </c>
      <c r="BR20" s="360">
        <f t="shared" si="5"/>
        <v>0</v>
      </c>
      <c r="BS20" s="360">
        <f t="shared" si="6"/>
        <v>0</v>
      </c>
      <c r="BT20" s="360">
        <f t="shared" si="7"/>
        <v>0</v>
      </c>
      <c r="BU20" s="360">
        <f t="shared" si="8"/>
        <v>0</v>
      </c>
      <c r="BV20" s="360">
        <f t="shared" si="9"/>
        <v>0</v>
      </c>
      <c r="BW20" s="360">
        <f t="shared" si="10"/>
        <v>0</v>
      </c>
      <c r="BX20" s="360">
        <f t="shared" si="11"/>
        <v>0</v>
      </c>
      <c r="BY20" s="360">
        <f t="shared" si="12"/>
        <v>0</v>
      </c>
      <c r="BZ20" s="360">
        <f t="shared" si="13"/>
        <v>0</v>
      </c>
      <c r="CA20" s="360">
        <f t="shared" si="14"/>
        <v>0</v>
      </c>
      <c r="CB20" s="360">
        <f t="shared" si="15"/>
        <v>0</v>
      </c>
      <c r="CC20" s="360">
        <f t="shared" si="16"/>
        <v>0</v>
      </c>
      <c r="CD20" s="360">
        <f t="shared" si="17"/>
        <v>0</v>
      </c>
      <c r="CE20" s="360">
        <f t="shared" si="18"/>
        <v>0</v>
      </c>
      <c r="CF20" s="360">
        <f t="shared" si="19"/>
        <v>0</v>
      </c>
      <c r="CG20" s="360">
        <f t="shared" si="20"/>
        <v>3048561.509112</v>
      </c>
      <c r="CH20" s="360">
        <f t="shared" si="21"/>
        <v>0</v>
      </c>
      <c r="CI20" s="360">
        <f t="shared" si="22"/>
        <v>0</v>
      </c>
      <c r="CJ20" s="360">
        <f t="shared" si="23"/>
        <v>0</v>
      </c>
      <c r="CK20" s="360">
        <f t="shared" si="24"/>
        <v>0</v>
      </c>
      <c r="CL20" s="360">
        <f t="shared" si="25"/>
        <v>0</v>
      </c>
      <c r="CM20" s="360">
        <f t="shared" si="26"/>
        <v>6974278.7360400008</v>
      </c>
      <c r="CN20" s="360">
        <f t="shared" si="27"/>
        <v>0</v>
      </c>
      <c r="CO20" s="360">
        <f t="shared" si="28"/>
        <v>0</v>
      </c>
      <c r="CP20" s="360">
        <f t="shared" si="29"/>
        <v>0</v>
      </c>
      <c r="CQ20" s="360">
        <f t="shared" si="30"/>
        <v>0</v>
      </c>
      <c r="CR20" s="360">
        <f t="shared" si="31"/>
        <v>0</v>
      </c>
      <c r="CS20" s="360">
        <f t="shared" si="32"/>
        <v>0</v>
      </c>
      <c r="CT20" s="360">
        <f t="shared" si="33"/>
        <v>0</v>
      </c>
      <c r="CU20" s="360">
        <f t="shared" si="34"/>
        <v>0</v>
      </c>
      <c r="CV20" s="360">
        <f t="shared" si="35"/>
        <v>0</v>
      </c>
      <c r="CW20" s="360">
        <f t="shared" si="36"/>
        <v>0</v>
      </c>
      <c r="CX20" s="360">
        <f t="shared" si="37"/>
        <v>0</v>
      </c>
      <c r="CY20" s="360">
        <f t="shared" si="38"/>
        <v>0</v>
      </c>
      <c r="CZ20" s="360">
        <f t="shared" si="39"/>
        <v>0</v>
      </c>
      <c r="DA20" s="360">
        <f t="shared" si="40"/>
        <v>0</v>
      </c>
      <c r="DB20" s="360">
        <f t="shared" si="41"/>
        <v>0</v>
      </c>
      <c r="DC20" s="360">
        <f t="shared" si="42"/>
        <v>0</v>
      </c>
      <c r="DD20" s="360">
        <f t="shared" si="43"/>
        <v>0</v>
      </c>
      <c r="DE20" s="360">
        <f t="shared" si="44"/>
        <v>0</v>
      </c>
      <c r="DF20" s="360">
        <f t="shared" si="45"/>
        <v>0</v>
      </c>
      <c r="DG20" s="360">
        <f t="shared" si="46"/>
        <v>0</v>
      </c>
      <c r="DH20" s="360">
        <f t="shared" si="47"/>
        <v>0</v>
      </c>
      <c r="DI20" s="360">
        <f t="shared" si="48"/>
        <v>0</v>
      </c>
    </row>
    <row r="21" spans="1:144" ht="56" x14ac:dyDescent="0.35">
      <c r="A21" s="55" t="s">
        <v>954</v>
      </c>
      <c r="B21" s="390"/>
      <c r="C21" s="6" t="s">
        <v>955</v>
      </c>
      <c r="D21" s="145" t="s">
        <v>443</v>
      </c>
      <c r="E21" s="6" t="s">
        <v>956</v>
      </c>
      <c r="F21" s="109" t="s">
        <v>299</v>
      </c>
      <c r="G21" s="111">
        <f>'[1]HCC Education Costs'!T5</f>
        <v>74071820.199780002</v>
      </c>
      <c r="H21" s="114" t="s">
        <v>957</v>
      </c>
      <c r="I21" s="57">
        <v>0</v>
      </c>
      <c r="J21" s="57">
        <f>G21</f>
        <v>74071820.199780002</v>
      </c>
      <c r="K21" s="112">
        <f>J21</f>
        <v>74071820.199780002</v>
      </c>
      <c r="L21" s="147" t="s">
        <v>872</v>
      </c>
      <c r="M21" s="389">
        <f t="shared" si="53"/>
        <v>0</v>
      </c>
      <c r="N21" s="100" t="s">
        <v>890</v>
      </c>
      <c r="O21" s="269"/>
      <c r="P21" s="269"/>
      <c r="Q21" s="269"/>
      <c r="R21" s="269"/>
      <c r="S21" s="269"/>
      <c r="T21" s="270"/>
      <c r="U21" s="245"/>
      <c r="V21" s="242">
        <f>15/85</f>
        <v>0.17647058823529413</v>
      </c>
      <c r="W21" s="242">
        <f>15/85</f>
        <v>0.17647058823529413</v>
      </c>
      <c r="X21" s="242">
        <f>15/85</f>
        <v>0.17647058823529413</v>
      </c>
      <c r="Y21" s="242">
        <f>15/85</f>
        <v>0.17647058823529413</v>
      </c>
      <c r="Z21" s="247">
        <f>25/85</f>
        <v>0.29411764705882354</v>
      </c>
      <c r="AA21" s="100" t="s">
        <v>958</v>
      </c>
      <c r="AB21" s="219"/>
      <c r="AC21" s="6" t="s">
        <v>959</v>
      </c>
      <c r="AD21" s="274" t="s">
        <v>241</v>
      </c>
      <c r="AE21" s="90" t="s">
        <v>960</v>
      </c>
      <c r="AF21" s="97" t="s">
        <v>242</v>
      </c>
      <c r="AG21" s="94" t="s">
        <v>893</v>
      </c>
      <c r="AH21" s="206"/>
      <c r="AI21" s="149"/>
      <c r="AJ21" s="149"/>
      <c r="AK21" s="149"/>
      <c r="AL21" s="149"/>
      <c r="AM21" s="79">
        <f>K21*0.85</f>
        <v>62961047.169813</v>
      </c>
      <c r="AN21" s="79">
        <f>K21*0.15</f>
        <v>11110773.029967001</v>
      </c>
      <c r="AO21" s="149"/>
      <c r="AP21" s="149"/>
      <c r="AQ21" s="149"/>
      <c r="AR21" s="149"/>
      <c r="AS21" s="149"/>
      <c r="AT21" s="149"/>
      <c r="AU21" s="149"/>
      <c r="AV21" s="149"/>
      <c r="AW21" s="149"/>
      <c r="AX21" s="149"/>
      <c r="AY21" s="149"/>
      <c r="AZ21" s="149"/>
      <c r="BA21" s="149"/>
      <c r="BB21" s="149"/>
      <c r="BC21" s="149"/>
      <c r="BD21" s="149"/>
      <c r="BE21" s="149"/>
      <c r="BF21" s="149"/>
      <c r="BG21" s="149"/>
      <c r="BH21" s="149"/>
      <c r="BI21" s="46"/>
      <c r="BJ21" s="46"/>
      <c r="BK21" s="288" t="b">
        <f t="shared" si="52"/>
        <v>1</v>
      </c>
      <c r="BN21" s="360">
        <f t="shared" si="1"/>
        <v>0</v>
      </c>
      <c r="BO21" s="360">
        <f t="shared" si="2"/>
        <v>0</v>
      </c>
      <c r="BP21" s="360">
        <f t="shared" si="3"/>
        <v>0</v>
      </c>
      <c r="BQ21" s="360">
        <f t="shared" si="4"/>
        <v>0</v>
      </c>
      <c r="BR21" s="360">
        <f t="shared" si="5"/>
        <v>0</v>
      </c>
      <c r="BS21" s="360">
        <f t="shared" si="6"/>
        <v>0</v>
      </c>
      <c r="BT21" s="360">
        <f t="shared" si="7"/>
        <v>0</v>
      </c>
      <c r="BU21" s="360">
        <f t="shared" si="8"/>
        <v>0</v>
      </c>
      <c r="BV21" s="360">
        <f t="shared" si="9"/>
        <v>0</v>
      </c>
      <c r="BW21" s="360">
        <f t="shared" si="10"/>
        <v>0</v>
      </c>
      <c r="BX21" s="360">
        <f t="shared" si="11"/>
        <v>0</v>
      </c>
      <c r="BY21" s="360">
        <f t="shared" si="12"/>
        <v>0</v>
      </c>
      <c r="BZ21" s="360">
        <f t="shared" si="13"/>
        <v>0</v>
      </c>
      <c r="CA21" s="360">
        <f t="shared" si="14"/>
        <v>0</v>
      </c>
      <c r="CB21" s="360">
        <f t="shared" si="15"/>
        <v>0</v>
      </c>
      <c r="CC21" s="360">
        <f t="shared" si="16"/>
        <v>0</v>
      </c>
      <c r="CD21" s="360">
        <f t="shared" si="17"/>
        <v>0</v>
      </c>
      <c r="CE21" s="360">
        <f t="shared" si="18"/>
        <v>0</v>
      </c>
      <c r="CF21" s="360">
        <f t="shared" si="19"/>
        <v>0</v>
      </c>
      <c r="CG21" s="360">
        <f t="shared" si="20"/>
        <v>0</v>
      </c>
      <c r="CH21" s="360">
        <f t="shared" si="21"/>
        <v>0</v>
      </c>
      <c r="CI21" s="360">
        <f t="shared" si="22"/>
        <v>0</v>
      </c>
      <c r="CJ21" s="360">
        <f t="shared" si="23"/>
        <v>0</v>
      </c>
      <c r="CK21" s="360">
        <f t="shared" si="24"/>
        <v>0</v>
      </c>
      <c r="CL21" s="360">
        <f t="shared" si="25"/>
        <v>0</v>
      </c>
      <c r="CM21" s="360">
        <f t="shared" si="26"/>
        <v>0</v>
      </c>
      <c r="CN21" s="360">
        <f t="shared" si="27"/>
        <v>0</v>
      </c>
      <c r="CO21" s="360">
        <f t="shared" si="28"/>
        <v>0</v>
      </c>
      <c r="CP21" s="360">
        <f t="shared" si="29"/>
        <v>0</v>
      </c>
      <c r="CQ21" s="360">
        <f t="shared" si="30"/>
        <v>0</v>
      </c>
      <c r="CR21" s="360">
        <f t="shared" si="31"/>
        <v>0</v>
      </c>
      <c r="CS21" s="360">
        <f t="shared" si="32"/>
        <v>11110773.029967001</v>
      </c>
      <c r="CT21" s="360">
        <f t="shared" si="33"/>
        <v>11110773.029967001</v>
      </c>
      <c r="CU21" s="360">
        <f t="shared" si="34"/>
        <v>11110773.029967001</v>
      </c>
      <c r="CV21" s="360">
        <f t="shared" si="35"/>
        <v>11110773.029967001</v>
      </c>
      <c r="CW21" s="360">
        <f t="shared" si="36"/>
        <v>18517955.049945001</v>
      </c>
      <c r="CX21" s="360">
        <f t="shared" si="37"/>
        <v>0</v>
      </c>
      <c r="CY21" s="360">
        <f t="shared" si="38"/>
        <v>1960724.6523471179</v>
      </c>
      <c r="CZ21" s="360">
        <f t="shared" si="39"/>
        <v>1960724.6523471179</v>
      </c>
      <c r="DA21" s="360">
        <f t="shared" si="40"/>
        <v>1960724.6523471179</v>
      </c>
      <c r="DB21" s="360">
        <f t="shared" si="41"/>
        <v>1960724.6523471179</v>
      </c>
      <c r="DC21" s="360">
        <f t="shared" si="42"/>
        <v>3267874.4205785296</v>
      </c>
      <c r="DD21" s="360">
        <f t="shared" si="43"/>
        <v>0</v>
      </c>
      <c r="DE21" s="360">
        <f t="shared" si="44"/>
        <v>0</v>
      </c>
      <c r="DF21" s="360">
        <f t="shared" si="45"/>
        <v>0</v>
      </c>
      <c r="DG21" s="360">
        <f t="shared" si="46"/>
        <v>0</v>
      </c>
      <c r="DH21" s="360">
        <f t="shared" si="47"/>
        <v>0</v>
      </c>
      <c r="DI21" s="360">
        <f t="shared" si="48"/>
        <v>0</v>
      </c>
    </row>
    <row r="22" spans="1:144" ht="56" x14ac:dyDescent="0.35">
      <c r="A22" s="55" t="s">
        <v>961</v>
      </c>
      <c r="B22" s="390"/>
      <c r="C22" s="6" t="s">
        <v>962</v>
      </c>
      <c r="D22" s="145" t="s">
        <v>443</v>
      </c>
      <c r="E22" s="6" t="s">
        <v>956</v>
      </c>
      <c r="F22" s="109" t="s">
        <v>299</v>
      </c>
      <c r="G22" s="111">
        <f>'[1]HCC Education Costs'!T16</f>
        <v>11450464.178220004</v>
      </c>
      <c r="H22" s="114" t="s">
        <v>957</v>
      </c>
      <c r="I22" s="57">
        <v>0</v>
      </c>
      <c r="J22" s="57">
        <f>G22</f>
        <v>11450464.178220004</v>
      </c>
      <c r="K22" s="112">
        <f>J22</f>
        <v>11450464.178220004</v>
      </c>
      <c r="L22" s="147" t="s">
        <v>872</v>
      </c>
      <c r="M22" s="389">
        <f t="shared" si="53"/>
        <v>0</v>
      </c>
      <c r="N22" s="100" t="s">
        <v>963</v>
      </c>
      <c r="O22" s="6"/>
      <c r="P22" s="6"/>
      <c r="Q22" s="6"/>
      <c r="R22" s="6"/>
      <c r="S22" s="6"/>
      <c r="T22" s="270"/>
      <c r="U22" s="245"/>
      <c r="V22" s="243"/>
      <c r="W22" s="243"/>
      <c r="X22" s="243"/>
      <c r="Y22" s="243"/>
      <c r="Z22" s="247">
        <v>1</v>
      </c>
      <c r="AA22" s="100" t="s">
        <v>964</v>
      </c>
      <c r="AB22" s="219"/>
      <c r="AC22" s="6" t="s">
        <v>959</v>
      </c>
      <c r="AD22" s="276" t="s">
        <v>382</v>
      </c>
      <c r="AE22" s="90" t="s">
        <v>960</v>
      </c>
      <c r="AF22" s="97" t="s">
        <v>242</v>
      </c>
      <c r="AG22" s="94" t="s">
        <v>893</v>
      </c>
      <c r="AH22" s="206"/>
      <c r="AI22" s="149"/>
      <c r="AJ22" s="149"/>
      <c r="AK22" s="149"/>
      <c r="AL22" s="149"/>
      <c r="AM22" s="79">
        <f>K22*0.85</f>
        <v>9732894.5514870025</v>
      </c>
      <c r="AN22" s="79">
        <f>K22*0.15</f>
        <v>1717569.6267330006</v>
      </c>
      <c r="AO22" s="149"/>
      <c r="AP22" s="149"/>
      <c r="AQ22" s="149"/>
      <c r="AR22" s="149"/>
      <c r="AS22" s="149"/>
      <c r="AT22" s="149"/>
      <c r="AU22" s="149"/>
      <c r="AV22" s="149"/>
      <c r="AW22" s="149"/>
      <c r="AX22" s="149"/>
      <c r="AY22" s="149"/>
      <c r="AZ22" s="149"/>
      <c r="BA22" s="149"/>
      <c r="BB22" s="149"/>
      <c r="BC22" s="149"/>
      <c r="BD22" s="149"/>
      <c r="BE22" s="149"/>
      <c r="BF22" s="149"/>
      <c r="BG22" s="149"/>
      <c r="BH22" s="149"/>
      <c r="BI22" s="46"/>
      <c r="BJ22" s="46"/>
      <c r="BK22" s="288" t="b">
        <f t="shared" si="52"/>
        <v>1</v>
      </c>
      <c r="BN22" s="360">
        <f t="shared" si="1"/>
        <v>0</v>
      </c>
      <c r="BO22" s="360">
        <f t="shared" si="2"/>
        <v>0</v>
      </c>
      <c r="BP22" s="360">
        <f t="shared" si="3"/>
        <v>0</v>
      </c>
      <c r="BQ22" s="360">
        <f t="shared" si="4"/>
        <v>0</v>
      </c>
      <c r="BR22" s="360">
        <f t="shared" si="5"/>
        <v>0</v>
      </c>
      <c r="BS22" s="360">
        <f t="shared" si="6"/>
        <v>0</v>
      </c>
      <c r="BT22" s="360">
        <f t="shared" si="7"/>
        <v>0</v>
      </c>
      <c r="BU22" s="360">
        <f t="shared" si="8"/>
        <v>0</v>
      </c>
      <c r="BV22" s="360">
        <f t="shared" si="9"/>
        <v>0</v>
      </c>
      <c r="BW22" s="360">
        <f t="shared" si="10"/>
        <v>0</v>
      </c>
      <c r="BX22" s="360">
        <f t="shared" si="11"/>
        <v>0</v>
      </c>
      <c r="BY22" s="360">
        <f t="shared" si="12"/>
        <v>0</v>
      </c>
      <c r="BZ22" s="360">
        <f t="shared" si="13"/>
        <v>0</v>
      </c>
      <c r="CA22" s="360">
        <f t="shared" si="14"/>
        <v>0</v>
      </c>
      <c r="CB22" s="360">
        <f t="shared" si="15"/>
        <v>0</v>
      </c>
      <c r="CC22" s="360">
        <f t="shared" si="16"/>
        <v>0</v>
      </c>
      <c r="CD22" s="360">
        <f t="shared" si="17"/>
        <v>0</v>
      </c>
      <c r="CE22" s="360">
        <f t="shared" si="18"/>
        <v>0</v>
      </c>
      <c r="CF22" s="360">
        <f t="shared" si="19"/>
        <v>0</v>
      </c>
      <c r="CG22" s="360">
        <f t="shared" si="20"/>
        <v>0</v>
      </c>
      <c r="CH22" s="360">
        <f t="shared" si="21"/>
        <v>0</v>
      </c>
      <c r="CI22" s="360">
        <f t="shared" si="22"/>
        <v>0</v>
      </c>
      <c r="CJ22" s="360">
        <f t="shared" si="23"/>
        <v>0</v>
      </c>
      <c r="CK22" s="360">
        <f t="shared" si="24"/>
        <v>0</v>
      </c>
      <c r="CL22" s="360">
        <f t="shared" si="25"/>
        <v>0</v>
      </c>
      <c r="CM22" s="360">
        <f t="shared" si="26"/>
        <v>0</v>
      </c>
      <c r="CN22" s="360">
        <f t="shared" si="27"/>
        <v>0</v>
      </c>
      <c r="CO22" s="360">
        <f t="shared" si="28"/>
        <v>0</v>
      </c>
      <c r="CP22" s="360">
        <f t="shared" si="29"/>
        <v>0</v>
      </c>
      <c r="CQ22" s="360">
        <f t="shared" si="30"/>
        <v>0</v>
      </c>
      <c r="CR22" s="360">
        <f t="shared" si="31"/>
        <v>0</v>
      </c>
      <c r="CS22" s="360">
        <f t="shared" si="32"/>
        <v>0</v>
      </c>
      <c r="CT22" s="360">
        <f t="shared" si="33"/>
        <v>0</v>
      </c>
      <c r="CU22" s="360">
        <f t="shared" si="34"/>
        <v>0</v>
      </c>
      <c r="CV22" s="360">
        <f t="shared" si="35"/>
        <v>0</v>
      </c>
      <c r="CW22" s="360">
        <f t="shared" si="36"/>
        <v>9732894.5514870025</v>
      </c>
      <c r="CX22" s="360">
        <f t="shared" si="37"/>
        <v>0</v>
      </c>
      <c r="CY22" s="360">
        <f t="shared" si="38"/>
        <v>0</v>
      </c>
      <c r="CZ22" s="360">
        <f t="shared" si="39"/>
        <v>0</v>
      </c>
      <c r="DA22" s="360">
        <f t="shared" si="40"/>
        <v>0</v>
      </c>
      <c r="DB22" s="360">
        <f t="shared" si="41"/>
        <v>0</v>
      </c>
      <c r="DC22" s="360">
        <f t="shared" si="42"/>
        <v>1717569.6267330006</v>
      </c>
      <c r="DD22" s="360">
        <f t="shared" si="43"/>
        <v>0</v>
      </c>
      <c r="DE22" s="360">
        <f t="shared" si="44"/>
        <v>0</v>
      </c>
      <c r="DF22" s="360">
        <f t="shared" si="45"/>
        <v>0</v>
      </c>
      <c r="DG22" s="360">
        <f t="shared" si="46"/>
        <v>0</v>
      </c>
      <c r="DH22" s="360">
        <f t="shared" si="47"/>
        <v>0</v>
      </c>
      <c r="DI22" s="360">
        <f t="shared" si="48"/>
        <v>0</v>
      </c>
    </row>
    <row r="23" spans="1:144" ht="70" x14ac:dyDescent="0.35">
      <c r="A23" s="55" t="s">
        <v>965</v>
      </c>
      <c r="B23" s="90" t="s">
        <v>966</v>
      </c>
      <c r="C23" s="1" t="s">
        <v>967</v>
      </c>
      <c r="D23" s="146" t="s">
        <v>443</v>
      </c>
      <c r="E23" s="1" t="s">
        <v>930</v>
      </c>
      <c r="F23" s="109" t="s">
        <v>299</v>
      </c>
      <c r="G23" s="111">
        <f>7500000*1.0252</f>
        <v>7688999.9999999991</v>
      </c>
      <c r="H23" s="114" t="s">
        <v>968</v>
      </c>
      <c r="I23" s="57">
        <v>0</v>
      </c>
      <c r="J23" s="57">
        <f>G23</f>
        <v>7688999.9999999991</v>
      </c>
      <c r="K23" s="112">
        <f>SUM(AH23:BJ23)</f>
        <v>3897050.4688500008</v>
      </c>
      <c r="L23" s="147" t="s">
        <v>932</v>
      </c>
      <c r="M23" s="389">
        <f t="shared" si="53"/>
        <v>3791949.5311499983</v>
      </c>
      <c r="N23" s="100" t="s">
        <v>903</v>
      </c>
      <c r="O23" s="98"/>
      <c r="P23" s="98"/>
      <c r="Q23" s="9"/>
      <c r="R23" s="9"/>
      <c r="S23" s="9"/>
      <c r="T23" s="103"/>
      <c r="U23" s="242">
        <v>0.5</v>
      </c>
      <c r="V23" s="242">
        <v>0.5</v>
      </c>
      <c r="W23" s="255"/>
      <c r="X23" s="255"/>
      <c r="Y23" s="255"/>
      <c r="Z23" s="256"/>
      <c r="AA23" s="96" t="s">
        <v>969</v>
      </c>
      <c r="AB23" s="1" t="s">
        <v>309</v>
      </c>
      <c r="AC23" s="1" t="s">
        <v>874</v>
      </c>
      <c r="AD23" s="274" t="s">
        <v>241</v>
      </c>
      <c r="AE23" s="90"/>
      <c r="AF23" s="97" t="s">
        <v>242</v>
      </c>
      <c r="AG23" s="94" t="s">
        <v>293</v>
      </c>
      <c r="AH23" s="206"/>
      <c r="AI23" s="149"/>
      <c r="AJ23" s="149"/>
      <c r="AK23" s="149"/>
      <c r="AL23" s="149"/>
      <c r="AM23" s="149"/>
      <c r="AN23" s="149"/>
      <c r="AO23" s="79">
        <v>2495648.0835000002</v>
      </c>
      <c r="AP23" s="79">
        <v>268762.10130000004</v>
      </c>
      <c r="AQ23" s="79">
        <v>264922.64270999999</v>
      </c>
      <c r="AR23" s="79">
        <v>161257.26078000001</v>
      </c>
      <c r="AS23" s="79">
        <v>138220.50924000001</v>
      </c>
      <c r="AT23" s="79">
        <v>134381.05065000002</v>
      </c>
      <c r="AU23" s="79">
        <v>134381.05065000002</v>
      </c>
      <c r="AV23" s="79">
        <v>134381.05065000002</v>
      </c>
      <c r="AW23" s="79">
        <v>88307.54757000001</v>
      </c>
      <c r="AX23" s="79">
        <v>76789.171800000011</v>
      </c>
      <c r="AY23" s="149"/>
      <c r="AZ23" s="149"/>
      <c r="BA23" s="149"/>
      <c r="BB23" s="149"/>
      <c r="BC23" s="149"/>
      <c r="BD23" s="149"/>
      <c r="BE23" s="149"/>
      <c r="BF23" s="149"/>
      <c r="BG23" s="149"/>
      <c r="BH23" s="149"/>
      <c r="BI23" s="149"/>
      <c r="BJ23" s="149"/>
      <c r="BK23" s="288" t="b">
        <f t="shared" si="52"/>
        <v>1</v>
      </c>
      <c r="BN23" s="360">
        <f t="shared" si="1"/>
        <v>0</v>
      </c>
      <c r="BO23" s="360">
        <f t="shared" si="2"/>
        <v>0</v>
      </c>
      <c r="BP23" s="360">
        <f t="shared" si="3"/>
        <v>0</v>
      </c>
      <c r="BQ23" s="360">
        <f t="shared" si="4"/>
        <v>0</v>
      </c>
      <c r="BR23" s="360">
        <f t="shared" si="5"/>
        <v>0</v>
      </c>
      <c r="BS23" s="360">
        <f t="shared" si="6"/>
        <v>0</v>
      </c>
      <c r="BT23" s="360">
        <f t="shared" si="7"/>
        <v>0</v>
      </c>
      <c r="BU23" s="360">
        <f t="shared" si="8"/>
        <v>0</v>
      </c>
      <c r="BV23" s="360">
        <f t="shared" si="9"/>
        <v>0</v>
      </c>
      <c r="BW23" s="360">
        <f t="shared" si="10"/>
        <v>0</v>
      </c>
      <c r="BX23" s="360">
        <f t="shared" si="11"/>
        <v>0</v>
      </c>
      <c r="BY23" s="360">
        <f t="shared" si="12"/>
        <v>0</v>
      </c>
      <c r="BZ23" s="360">
        <f t="shared" si="13"/>
        <v>0</v>
      </c>
      <c r="CA23" s="360">
        <f t="shared" si="14"/>
        <v>0</v>
      </c>
      <c r="CB23" s="360">
        <f t="shared" si="15"/>
        <v>0</v>
      </c>
      <c r="CC23" s="360">
        <f t="shared" si="16"/>
        <v>0</v>
      </c>
      <c r="CD23" s="360">
        <f t="shared" si="17"/>
        <v>0</v>
      </c>
      <c r="CE23" s="360">
        <f t="shared" si="18"/>
        <v>0</v>
      </c>
      <c r="CF23" s="360">
        <f t="shared" si="19"/>
        <v>0</v>
      </c>
      <c r="CG23" s="360">
        <f t="shared" si="20"/>
        <v>0</v>
      </c>
      <c r="CH23" s="360">
        <f t="shared" si="21"/>
        <v>0</v>
      </c>
      <c r="CI23" s="360">
        <f t="shared" si="22"/>
        <v>0</v>
      </c>
      <c r="CJ23" s="360">
        <f t="shared" si="23"/>
        <v>0</v>
      </c>
      <c r="CK23" s="360">
        <f t="shared" si="24"/>
        <v>0</v>
      </c>
      <c r="CL23" s="360">
        <f t="shared" si="25"/>
        <v>0</v>
      </c>
      <c r="CM23" s="360">
        <f t="shared" si="26"/>
        <v>0</v>
      </c>
      <c r="CN23" s="360">
        <f t="shared" si="27"/>
        <v>0</v>
      </c>
      <c r="CO23" s="360">
        <f t="shared" si="28"/>
        <v>0</v>
      </c>
      <c r="CP23" s="360">
        <f t="shared" si="29"/>
        <v>0</v>
      </c>
      <c r="CQ23" s="360">
        <f t="shared" si="30"/>
        <v>0</v>
      </c>
      <c r="CR23" s="360">
        <f t="shared" si="31"/>
        <v>0</v>
      </c>
      <c r="CS23" s="360">
        <f t="shared" si="32"/>
        <v>0</v>
      </c>
      <c r="CT23" s="360">
        <f t="shared" si="33"/>
        <v>0</v>
      </c>
      <c r="CU23" s="360">
        <f t="shared" si="34"/>
        <v>0</v>
      </c>
      <c r="CV23" s="360">
        <f t="shared" si="35"/>
        <v>0</v>
      </c>
      <c r="CW23" s="360">
        <f t="shared" si="36"/>
        <v>0</v>
      </c>
      <c r="CX23" s="360">
        <f t="shared" si="37"/>
        <v>0</v>
      </c>
      <c r="CY23" s="360">
        <f t="shared" si="38"/>
        <v>0</v>
      </c>
      <c r="CZ23" s="360">
        <f t="shared" si="39"/>
        <v>0</v>
      </c>
      <c r="DA23" s="360">
        <f t="shared" si="40"/>
        <v>0</v>
      </c>
      <c r="DB23" s="360">
        <f t="shared" si="41"/>
        <v>0</v>
      </c>
      <c r="DC23" s="360">
        <f t="shared" si="42"/>
        <v>0</v>
      </c>
      <c r="DD23" s="360">
        <f t="shared" si="43"/>
        <v>1247824.0417500001</v>
      </c>
      <c r="DE23" s="360">
        <f t="shared" si="44"/>
        <v>1247824.0417500001</v>
      </c>
      <c r="DF23" s="360">
        <f t="shared" si="45"/>
        <v>0</v>
      </c>
      <c r="DG23" s="360">
        <f t="shared" si="46"/>
        <v>0</v>
      </c>
      <c r="DH23" s="360">
        <f t="shared" si="47"/>
        <v>0</v>
      </c>
      <c r="DI23" s="360">
        <f t="shared" si="48"/>
        <v>0</v>
      </c>
    </row>
    <row r="24" spans="1:144" ht="14" x14ac:dyDescent="0.3">
      <c r="A24" s="16" t="s">
        <v>970</v>
      </c>
      <c r="B24" s="144"/>
      <c r="C24" s="13"/>
      <c r="D24" s="13"/>
      <c r="E24" s="13"/>
      <c r="F24" s="155"/>
      <c r="G24" s="197"/>
      <c r="H24" s="23"/>
      <c r="I24" s="23"/>
      <c r="J24" s="23"/>
      <c r="K24" s="23"/>
      <c r="L24" s="23"/>
      <c r="M24" s="202"/>
      <c r="N24" s="200"/>
      <c r="O24" s="13"/>
      <c r="P24" s="13"/>
      <c r="Q24" s="13"/>
      <c r="R24" s="13"/>
      <c r="S24" s="13"/>
      <c r="T24" s="198"/>
      <c r="U24" s="257"/>
      <c r="V24" s="257"/>
      <c r="W24" s="257"/>
      <c r="X24" s="257"/>
      <c r="Y24" s="257"/>
      <c r="Z24" s="258"/>
      <c r="AA24" s="158"/>
      <c r="AB24" s="16"/>
      <c r="AC24" s="14"/>
      <c r="AD24" s="14"/>
      <c r="AE24" s="213"/>
      <c r="AF24" s="16"/>
      <c r="AG24" s="155"/>
      <c r="AH24" s="208"/>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288"/>
      <c r="BM24" s="345"/>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c r="DF24" s="239"/>
      <c r="DG24" s="239"/>
      <c r="DH24" s="239"/>
      <c r="DI24" s="239"/>
    </row>
    <row r="25" spans="1:144" ht="98" x14ac:dyDescent="0.35">
      <c r="A25" s="55" t="s">
        <v>971</v>
      </c>
      <c r="B25" s="90" t="s">
        <v>972</v>
      </c>
      <c r="C25" s="6" t="s">
        <v>973</v>
      </c>
      <c r="D25" s="146" t="s">
        <v>443</v>
      </c>
      <c r="E25" s="1" t="s">
        <v>930</v>
      </c>
      <c r="F25" s="109" t="s">
        <v>299</v>
      </c>
      <c r="G25" s="111">
        <v>25763000</v>
      </c>
      <c r="H25" s="114" t="s">
        <v>931</v>
      </c>
      <c r="I25" s="57">
        <v>0</v>
      </c>
      <c r="J25" s="57">
        <f t="shared" ref="J25:J31" si="54">G25-I25</f>
        <v>25763000</v>
      </c>
      <c r="K25" s="112">
        <f>SUM(AH25:BJ25)</f>
        <v>22485531.242385</v>
      </c>
      <c r="L25" s="147" t="s">
        <v>932</v>
      </c>
      <c r="M25" s="389">
        <f>J25-K25</f>
        <v>3277468.757615</v>
      </c>
      <c r="N25" s="100" t="s">
        <v>265</v>
      </c>
      <c r="O25" s="391"/>
      <c r="P25" s="98"/>
      <c r="Q25" s="98"/>
      <c r="R25" s="9"/>
      <c r="S25" s="9"/>
      <c r="T25" s="103"/>
      <c r="U25" s="259"/>
      <c r="V25" s="242"/>
      <c r="W25" s="242">
        <v>1</v>
      </c>
      <c r="X25" s="251"/>
      <c r="Y25" s="251"/>
      <c r="Z25" s="253"/>
      <c r="AA25" s="100" t="s">
        <v>974</v>
      </c>
      <c r="AB25" s="6" t="s">
        <v>239</v>
      </c>
      <c r="AC25" s="1" t="s">
        <v>874</v>
      </c>
      <c r="AD25" s="274" t="s">
        <v>241</v>
      </c>
      <c r="AE25" s="90" t="s">
        <v>975</v>
      </c>
      <c r="AF25" s="97" t="s">
        <v>242</v>
      </c>
      <c r="AG25" s="94" t="s">
        <v>941</v>
      </c>
      <c r="AH25" s="164">
        <v>4033520.3137499997</v>
      </c>
      <c r="AI25" s="79">
        <v>13982870.421</v>
      </c>
      <c r="AJ25" s="149"/>
      <c r="AK25" s="149"/>
      <c r="AL25" s="149"/>
      <c r="AM25" s="149"/>
      <c r="AN25" s="149"/>
      <c r="AO25" s="79">
        <v>3495717.60525</v>
      </c>
      <c r="AP25" s="79">
        <v>376461.89594999998</v>
      </c>
      <c r="AQ25" s="79">
        <v>371083.86886499997</v>
      </c>
      <c r="AR25" s="79">
        <v>225877.13756999999</v>
      </c>
      <c r="AS25" s="149"/>
      <c r="AT25" s="149"/>
      <c r="AU25" s="149"/>
      <c r="AV25" s="149"/>
      <c r="AW25" s="149"/>
      <c r="AX25" s="149"/>
      <c r="AY25" s="149"/>
      <c r="AZ25" s="149"/>
      <c r="BA25" s="149"/>
      <c r="BB25" s="149"/>
      <c r="BC25" s="149"/>
      <c r="BD25" s="149"/>
      <c r="BE25" s="149"/>
      <c r="BF25" s="149"/>
      <c r="BG25" s="149"/>
      <c r="BH25" s="149"/>
      <c r="BI25" s="46"/>
      <c r="BJ25" s="46"/>
      <c r="BK25" s="288" t="b">
        <f>K25=SUM(AH25:BJ25)</f>
        <v>1</v>
      </c>
      <c r="BN25" s="360">
        <f t="shared" si="1"/>
        <v>0</v>
      </c>
      <c r="BO25" s="360">
        <f t="shared" si="2"/>
        <v>0</v>
      </c>
      <c r="BP25" s="360">
        <f>$W25*AH25</f>
        <v>4033520.3137499997</v>
      </c>
      <c r="BQ25" s="360">
        <f t="shared" si="4"/>
        <v>0</v>
      </c>
      <c r="BR25" s="360">
        <f t="shared" si="5"/>
        <v>0</v>
      </c>
      <c r="BS25" s="360">
        <f t="shared" si="6"/>
        <v>0</v>
      </c>
      <c r="BT25" s="360">
        <f t="shared" si="7"/>
        <v>0</v>
      </c>
      <c r="BU25" s="360">
        <f t="shared" si="8"/>
        <v>0</v>
      </c>
      <c r="BV25" s="360">
        <f t="shared" si="9"/>
        <v>13982870.421</v>
      </c>
      <c r="BW25" s="360">
        <f t="shared" si="10"/>
        <v>0</v>
      </c>
      <c r="BX25" s="360">
        <f t="shared" si="11"/>
        <v>0</v>
      </c>
      <c r="BY25" s="360">
        <f t="shared" si="12"/>
        <v>0</v>
      </c>
      <c r="BZ25" s="360">
        <f t="shared" si="13"/>
        <v>0</v>
      </c>
      <c r="CA25" s="360">
        <f t="shared" si="14"/>
        <v>0</v>
      </c>
      <c r="CB25" s="360">
        <f t="shared" si="15"/>
        <v>0</v>
      </c>
      <c r="CC25" s="360">
        <f t="shared" si="16"/>
        <v>0</v>
      </c>
      <c r="CD25" s="360">
        <f t="shared" si="17"/>
        <v>0</v>
      </c>
      <c r="CE25" s="360">
        <f t="shared" si="18"/>
        <v>0</v>
      </c>
      <c r="CF25" s="360">
        <f t="shared" si="19"/>
        <v>0</v>
      </c>
      <c r="CG25" s="360">
        <f t="shared" si="20"/>
        <v>0</v>
      </c>
      <c r="CH25" s="360">
        <f t="shared" si="21"/>
        <v>0</v>
      </c>
      <c r="CI25" s="360">
        <f t="shared" si="22"/>
        <v>0</v>
      </c>
      <c r="CJ25" s="360">
        <f t="shared" si="23"/>
        <v>0</v>
      </c>
      <c r="CK25" s="360">
        <f t="shared" si="24"/>
        <v>0</v>
      </c>
      <c r="CL25" s="360">
        <f t="shared" si="25"/>
        <v>0</v>
      </c>
      <c r="CM25" s="360">
        <f t="shared" si="26"/>
        <v>0</v>
      </c>
      <c r="CN25" s="360">
        <f t="shared" si="27"/>
        <v>0</v>
      </c>
      <c r="CO25" s="360">
        <f t="shared" si="28"/>
        <v>0</v>
      </c>
      <c r="CP25" s="360">
        <f t="shared" si="29"/>
        <v>0</v>
      </c>
      <c r="CQ25" s="360">
        <f t="shared" si="30"/>
        <v>0</v>
      </c>
      <c r="CR25" s="360">
        <f t="shared" si="31"/>
        <v>0</v>
      </c>
      <c r="CS25" s="360">
        <f t="shared" si="32"/>
        <v>0</v>
      </c>
      <c r="CT25" s="360">
        <f t="shared" si="33"/>
        <v>0</v>
      </c>
      <c r="CU25" s="360">
        <f t="shared" si="34"/>
        <v>0</v>
      </c>
      <c r="CV25" s="360">
        <f t="shared" si="35"/>
        <v>0</v>
      </c>
      <c r="CW25" s="360">
        <f t="shared" si="36"/>
        <v>0</v>
      </c>
      <c r="CX25" s="360">
        <f t="shared" si="37"/>
        <v>0</v>
      </c>
      <c r="CY25" s="360">
        <f t="shared" si="38"/>
        <v>0</v>
      </c>
      <c r="CZ25" s="360">
        <f t="shared" si="39"/>
        <v>0</v>
      </c>
      <c r="DA25" s="360">
        <f t="shared" si="40"/>
        <v>0</v>
      </c>
      <c r="DB25" s="360">
        <f t="shared" si="41"/>
        <v>0</v>
      </c>
      <c r="DC25" s="360">
        <f t="shared" si="42"/>
        <v>0</v>
      </c>
      <c r="DD25" s="360">
        <f t="shared" si="43"/>
        <v>0</v>
      </c>
      <c r="DE25" s="360">
        <f t="shared" si="44"/>
        <v>0</v>
      </c>
      <c r="DF25" s="360">
        <f t="shared" si="45"/>
        <v>3495717.60525</v>
      </c>
      <c r="DG25" s="360">
        <f t="shared" si="46"/>
        <v>0</v>
      </c>
      <c r="DH25" s="360">
        <f t="shared" si="47"/>
        <v>0</v>
      </c>
      <c r="DI25" s="360">
        <f t="shared" si="48"/>
        <v>0</v>
      </c>
    </row>
    <row r="26" spans="1:144" ht="84" x14ac:dyDescent="0.35">
      <c r="A26" s="55" t="s">
        <v>976</v>
      </c>
      <c r="B26" s="90" t="s">
        <v>977</v>
      </c>
      <c r="C26" s="6" t="s">
        <v>978</v>
      </c>
      <c r="D26" s="146" t="s">
        <v>443</v>
      </c>
      <c r="E26" s="1" t="s">
        <v>930</v>
      </c>
      <c r="F26" s="109" t="s">
        <v>299</v>
      </c>
      <c r="G26" s="111">
        <v>25763000</v>
      </c>
      <c r="H26" s="114" t="s">
        <v>931</v>
      </c>
      <c r="I26" s="57">
        <v>0</v>
      </c>
      <c r="J26" s="57">
        <f>G26-I26</f>
        <v>25763000</v>
      </c>
      <c r="K26" s="112">
        <f>SUM(AH26:BJ26)</f>
        <v>23458954.144769996</v>
      </c>
      <c r="L26" s="147" t="s">
        <v>932</v>
      </c>
      <c r="M26" s="389">
        <f>J26-K26</f>
        <v>2304045.8552300036</v>
      </c>
      <c r="N26" s="100" t="s">
        <v>265</v>
      </c>
      <c r="O26" s="391"/>
      <c r="P26" s="98"/>
      <c r="Q26" s="98"/>
      <c r="R26" s="9"/>
      <c r="S26" s="9"/>
      <c r="T26" s="103"/>
      <c r="U26" s="259"/>
      <c r="V26" s="242">
        <v>1</v>
      </c>
      <c r="W26" s="242"/>
      <c r="X26" s="251"/>
      <c r="Y26" s="251"/>
      <c r="Z26" s="253"/>
      <c r="AA26" s="100" t="s">
        <v>979</v>
      </c>
      <c r="AB26" s="6" t="s">
        <v>239</v>
      </c>
      <c r="AC26" s="1" t="s">
        <v>874</v>
      </c>
      <c r="AD26" s="274" t="s">
        <v>241</v>
      </c>
      <c r="AE26" s="90" t="s">
        <v>980</v>
      </c>
      <c r="AF26" s="97" t="s">
        <v>242</v>
      </c>
      <c r="AG26" s="94" t="s">
        <v>941</v>
      </c>
      <c r="AH26" s="206"/>
      <c r="AI26" s="149"/>
      <c r="AJ26" s="79">
        <v>5646928.4392499998</v>
      </c>
      <c r="AK26" s="79">
        <v>4340067.8575949995</v>
      </c>
      <c r="AL26" s="79">
        <v>7158154.0501349997</v>
      </c>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46"/>
      <c r="BJ26" s="79">
        <v>6313803.7977899993</v>
      </c>
      <c r="BK26" s="288" t="b">
        <f>K26=SUM(AH26:BJ26)</f>
        <v>1</v>
      </c>
      <c r="BM26" s="348"/>
      <c r="BN26" s="360">
        <f t="shared" si="1"/>
        <v>0</v>
      </c>
      <c r="BO26" s="360">
        <f t="shared" si="2"/>
        <v>0</v>
      </c>
      <c r="BP26" s="360">
        <f t="shared" si="3"/>
        <v>0</v>
      </c>
      <c r="BQ26" s="360">
        <f t="shared" si="4"/>
        <v>0</v>
      </c>
      <c r="BR26" s="360">
        <f t="shared" si="5"/>
        <v>0</v>
      </c>
      <c r="BS26" s="360">
        <f t="shared" si="6"/>
        <v>0</v>
      </c>
      <c r="BT26" s="360">
        <f t="shared" si="7"/>
        <v>0</v>
      </c>
      <c r="BU26" s="360">
        <f t="shared" si="8"/>
        <v>0</v>
      </c>
      <c r="BV26" s="360">
        <f t="shared" si="9"/>
        <v>0</v>
      </c>
      <c r="BW26" s="360">
        <f t="shared" si="10"/>
        <v>0</v>
      </c>
      <c r="BX26" s="360">
        <f t="shared" si="11"/>
        <v>0</v>
      </c>
      <c r="BY26" s="360">
        <f t="shared" si="12"/>
        <v>0</v>
      </c>
      <c r="BZ26" s="360">
        <f t="shared" si="13"/>
        <v>0</v>
      </c>
      <c r="CA26" s="360">
        <f t="shared" si="14"/>
        <v>5646928.4392499998</v>
      </c>
      <c r="CB26" s="360">
        <f t="shared" si="15"/>
        <v>0</v>
      </c>
      <c r="CC26" s="360">
        <f t="shared" si="16"/>
        <v>0</v>
      </c>
      <c r="CD26" s="360">
        <f t="shared" si="17"/>
        <v>0</v>
      </c>
      <c r="CE26" s="360">
        <f t="shared" si="18"/>
        <v>0</v>
      </c>
      <c r="CF26" s="360">
        <f t="shared" si="19"/>
        <v>0</v>
      </c>
      <c r="CG26" s="360">
        <f t="shared" si="20"/>
        <v>4340067.8575949995</v>
      </c>
      <c r="CH26" s="360">
        <f t="shared" si="21"/>
        <v>0</v>
      </c>
      <c r="CI26" s="360">
        <f t="shared" si="22"/>
        <v>0</v>
      </c>
      <c r="CJ26" s="360">
        <f t="shared" si="23"/>
        <v>0</v>
      </c>
      <c r="CK26" s="360">
        <f t="shared" si="24"/>
        <v>0</v>
      </c>
      <c r="CL26" s="360">
        <f t="shared" si="25"/>
        <v>0</v>
      </c>
      <c r="CM26" s="360">
        <f t="shared" si="26"/>
        <v>7158154.0501349997</v>
      </c>
      <c r="CN26" s="360">
        <f t="shared" si="27"/>
        <v>0</v>
      </c>
      <c r="CO26" s="360">
        <f t="shared" si="28"/>
        <v>0</v>
      </c>
      <c r="CP26" s="360">
        <f t="shared" si="29"/>
        <v>0</v>
      </c>
      <c r="CQ26" s="360">
        <f t="shared" si="30"/>
        <v>0</v>
      </c>
      <c r="CR26" s="360">
        <f t="shared" si="31"/>
        <v>0</v>
      </c>
      <c r="CS26" s="360">
        <f t="shared" si="32"/>
        <v>0</v>
      </c>
      <c r="CT26" s="360">
        <f t="shared" si="33"/>
        <v>0</v>
      </c>
      <c r="CU26" s="360">
        <f t="shared" si="34"/>
        <v>0</v>
      </c>
      <c r="CV26" s="360">
        <f t="shared" si="35"/>
        <v>0</v>
      </c>
      <c r="CW26" s="360">
        <f t="shared" si="36"/>
        <v>0</v>
      </c>
      <c r="CX26" s="360">
        <f t="shared" si="37"/>
        <v>0</v>
      </c>
      <c r="CY26" s="360">
        <f t="shared" si="38"/>
        <v>0</v>
      </c>
      <c r="CZ26" s="360">
        <f t="shared" si="39"/>
        <v>0</v>
      </c>
      <c r="DA26" s="360">
        <f t="shared" si="40"/>
        <v>0</v>
      </c>
      <c r="DB26" s="360">
        <f t="shared" si="41"/>
        <v>0</v>
      </c>
      <c r="DC26" s="360">
        <f t="shared" si="42"/>
        <v>0</v>
      </c>
      <c r="DD26" s="360">
        <f t="shared" si="43"/>
        <v>0</v>
      </c>
      <c r="DE26" s="360">
        <f t="shared" si="44"/>
        <v>0</v>
      </c>
      <c r="DF26" s="360">
        <f t="shared" si="45"/>
        <v>0</v>
      </c>
      <c r="DG26" s="360">
        <f t="shared" si="46"/>
        <v>0</v>
      </c>
      <c r="DH26" s="360">
        <f t="shared" si="47"/>
        <v>0</v>
      </c>
      <c r="DI26" s="360">
        <f t="shared" si="48"/>
        <v>0</v>
      </c>
    </row>
    <row r="27" spans="1:144" ht="42" x14ac:dyDescent="0.3">
      <c r="A27" s="55" t="s">
        <v>981</v>
      </c>
      <c r="B27" s="90"/>
      <c r="C27" s="6" t="s">
        <v>982</v>
      </c>
      <c r="D27" s="145" t="s">
        <v>443</v>
      </c>
      <c r="E27" s="6" t="s">
        <v>983</v>
      </c>
      <c r="F27" s="109" t="s">
        <v>984</v>
      </c>
      <c r="G27" s="111">
        <f>'[1]HCC Education Costs'!T7</f>
        <v>38303511.569279999</v>
      </c>
      <c r="H27" s="114" t="s">
        <v>957</v>
      </c>
      <c r="I27" s="57">
        <v>0</v>
      </c>
      <c r="J27" s="57">
        <f>G27-I27</f>
        <v>38303511.569279999</v>
      </c>
      <c r="K27" s="112">
        <f>J27</f>
        <v>38303511.569279999</v>
      </c>
      <c r="L27" s="147" t="s">
        <v>872</v>
      </c>
      <c r="M27" s="389">
        <f>J27-K27</f>
        <v>0</v>
      </c>
      <c r="N27" s="100" t="s">
        <v>985</v>
      </c>
      <c r="O27" s="269"/>
      <c r="P27" s="269"/>
      <c r="Q27" s="269"/>
      <c r="R27" s="269"/>
      <c r="S27" s="6"/>
      <c r="T27" s="109"/>
      <c r="U27" s="242">
        <f>6/8</f>
        <v>0.75</v>
      </c>
      <c r="V27" s="242"/>
      <c r="W27" s="242">
        <f>2/8</f>
        <v>0.25</v>
      </c>
      <c r="X27" s="242"/>
      <c r="Y27" s="245"/>
      <c r="Z27" s="246"/>
      <c r="AA27" s="100" t="s">
        <v>986</v>
      </c>
      <c r="AB27" s="219"/>
      <c r="AC27" s="1" t="s">
        <v>892</v>
      </c>
      <c r="AD27" s="274" t="s">
        <v>241</v>
      </c>
      <c r="AE27" s="90" t="s">
        <v>960</v>
      </c>
      <c r="AF27" s="97" t="s">
        <v>242</v>
      </c>
      <c r="AG27" s="94" t="s">
        <v>941</v>
      </c>
      <c r="AH27" s="206"/>
      <c r="AI27" s="149"/>
      <c r="AJ27" s="149"/>
      <c r="AK27" s="149"/>
      <c r="AL27" s="149"/>
      <c r="AM27" s="79">
        <f>$K$27*0.85</f>
        <v>32557984.833887998</v>
      </c>
      <c r="AN27" s="79">
        <f>$K$27*0.15</f>
        <v>5745526.7353919996</v>
      </c>
      <c r="AO27" s="149"/>
      <c r="AP27" s="149"/>
      <c r="AQ27" s="149"/>
      <c r="AR27" s="149"/>
      <c r="AS27" s="149"/>
      <c r="AT27" s="149"/>
      <c r="AU27" s="149"/>
      <c r="AV27" s="149"/>
      <c r="AW27" s="149"/>
      <c r="AX27" s="149"/>
      <c r="AY27" s="149"/>
      <c r="AZ27" s="149"/>
      <c r="BA27" s="149"/>
      <c r="BB27" s="149"/>
      <c r="BC27" s="149"/>
      <c r="BD27" s="149"/>
      <c r="BE27" s="149"/>
      <c r="BF27" s="149"/>
      <c r="BG27" s="149"/>
      <c r="BH27" s="149"/>
      <c r="BI27" s="46"/>
      <c r="BJ27" s="46"/>
      <c r="BK27" s="288" t="b">
        <f>K27=SUM(AH27:BJ27)</f>
        <v>1</v>
      </c>
      <c r="BM27" s="348"/>
      <c r="BN27" s="360">
        <f t="shared" si="1"/>
        <v>0</v>
      </c>
      <c r="BO27" s="360">
        <f t="shared" si="2"/>
        <v>0</v>
      </c>
      <c r="BP27" s="360">
        <f t="shared" si="3"/>
        <v>0</v>
      </c>
      <c r="BQ27" s="360">
        <f t="shared" si="4"/>
        <v>0</v>
      </c>
      <c r="BR27" s="360">
        <f t="shared" si="5"/>
        <v>0</v>
      </c>
      <c r="BS27" s="360">
        <f t="shared" si="6"/>
        <v>0</v>
      </c>
      <c r="BT27" s="360">
        <f t="shared" si="7"/>
        <v>0</v>
      </c>
      <c r="BU27" s="360">
        <f t="shared" si="8"/>
        <v>0</v>
      </c>
      <c r="BV27" s="360">
        <f t="shared" si="9"/>
        <v>0</v>
      </c>
      <c r="BW27" s="360">
        <f t="shared" si="10"/>
        <v>0</v>
      </c>
      <c r="BX27" s="360">
        <f t="shared" si="11"/>
        <v>0</v>
      </c>
      <c r="BY27" s="360">
        <f t="shared" si="12"/>
        <v>0</v>
      </c>
      <c r="BZ27" s="360">
        <f t="shared" si="13"/>
        <v>0</v>
      </c>
      <c r="CA27" s="360">
        <f t="shared" si="14"/>
        <v>0</v>
      </c>
      <c r="CB27" s="360">
        <f t="shared" si="15"/>
        <v>0</v>
      </c>
      <c r="CC27" s="360">
        <f t="shared" si="16"/>
        <v>0</v>
      </c>
      <c r="CD27" s="360">
        <f t="shared" si="17"/>
        <v>0</v>
      </c>
      <c r="CE27" s="360">
        <f t="shared" si="18"/>
        <v>0</v>
      </c>
      <c r="CF27" s="360">
        <f t="shared" si="19"/>
        <v>0</v>
      </c>
      <c r="CG27" s="360">
        <f t="shared" si="20"/>
        <v>0</v>
      </c>
      <c r="CH27" s="360">
        <f t="shared" si="21"/>
        <v>0</v>
      </c>
      <c r="CI27" s="360">
        <f t="shared" si="22"/>
        <v>0</v>
      </c>
      <c r="CJ27" s="360">
        <f t="shared" si="23"/>
        <v>0</v>
      </c>
      <c r="CK27" s="360">
        <f t="shared" si="24"/>
        <v>0</v>
      </c>
      <c r="CL27" s="360">
        <f t="shared" si="25"/>
        <v>0</v>
      </c>
      <c r="CM27" s="360">
        <f t="shared" si="26"/>
        <v>0</v>
      </c>
      <c r="CN27" s="360">
        <f t="shared" si="27"/>
        <v>0</v>
      </c>
      <c r="CO27" s="360">
        <f t="shared" si="28"/>
        <v>0</v>
      </c>
      <c r="CP27" s="360">
        <f t="shared" si="29"/>
        <v>0</v>
      </c>
      <c r="CQ27" s="360">
        <f t="shared" si="30"/>
        <v>0</v>
      </c>
      <c r="CR27" s="360">
        <f t="shared" si="31"/>
        <v>24418488.625415999</v>
      </c>
      <c r="CS27" s="360">
        <f t="shared" si="32"/>
        <v>0</v>
      </c>
      <c r="CT27" s="360">
        <f t="shared" si="33"/>
        <v>8139496.2084719995</v>
      </c>
      <c r="CU27" s="360">
        <f t="shared" si="34"/>
        <v>0</v>
      </c>
      <c r="CV27" s="360">
        <f t="shared" si="35"/>
        <v>0</v>
      </c>
      <c r="CW27" s="360">
        <f t="shared" si="36"/>
        <v>0</v>
      </c>
      <c r="CX27" s="360">
        <f t="shared" si="37"/>
        <v>4309145.0515439995</v>
      </c>
      <c r="CY27" s="360">
        <f t="shared" si="38"/>
        <v>0</v>
      </c>
      <c r="CZ27" s="360">
        <f t="shared" si="39"/>
        <v>1436381.6838479999</v>
      </c>
      <c r="DA27" s="360">
        <f t="shared" si="40"/>
        <v>0</v>
      </c>
      <c r="DB27" s="360">
        <f t="shared" si="41"/>
        <v>0</v>
      </c>
      <c r="DC27" s="360">
        <f t="shared" si="42"/>
        <v>0</v>
      </c>
      <c r="DD27" s="360">
        <f t="shared" si="43"/>
        <v>0</v>
      </c>
      <c r="DE27" s="360">
        <f t="shared" si="44"/>
        <v>0</v>
      </c>
      <c r="DF27" s="360">
        <f t="shared" si="45"/>
        <v>0</v>
      </c>
      <c r="DG27" s="360">
        <f t="shared" si="46"/>
        <v>0</v>
      </c>
      <c r="DH27" s="360">
        <f t="shared" si="47"/>
        <v>0</v>
      </c>
      <c r="DI27" s="360">
        <f t="shared" si="48"/>
        <v>0</v>
      </c>
    </row>
    <row r="28" spans="1:144" ht="42" x14ac:dyDescent="0.3">
      <c r="A28" s="55" t="s">
        <v>987</v>
      </c>
      <c r="B28" s="90"/>
      <c r="C28" s="6" t="s">
        <v>988</v>
      </c>
      <c r="D28" s="145" t="s">
        <v>443</v>
      </c>
      <c r="E28" s="6" t="s">
        <v>983</v>
      </c>
      <c r="F28" s="109" t="s">
        <v>984</v>
      </c>
      <c r="G28" s="111">
        <v>42539273.936639979</v>
      </c>
      <c r="H28" s="114" t="s">
        <v>957</v>
      </c>
      <c r="I28" s="57">
        <v>0</v>
      </c>
      <c r="J28" s="57">
        <f t="shared" si="54"/>
        <v>42539273.936639979</v>
      </c>
      <c r="K28" s="112">
        <f>J28</f>
        <v>42539273.936639979</v>
      </c>
      <c r="L28" s="147" t="s">
        <v>872</v>
      </c>
      <c r="M28" s="389">
        <f>J28-K28</f>
        <v>0</v>
      </c>
      <c r="N28" s="100" t="s">
        <v>989</v>
      </c>
      <c r="O28" s="6"/>
      <c r="P28" s="6"/>
      <c r="Q28" s="269"/>
      <c r="R28" s="269"/>
      <c r="S28" s="269"/>
      <c r="T28" s="270"/>
      <c r="U28" s="245"/>
      <c r="V28" s="245"/>
      <c r="W28" s="242">
        <f>2/7</f>
        <v>0.2857142857142857</v>
      </c>
      <c r="X28" s="242">
        <f>5/7</f>
        <v>0.7142857142857143</v>
      </c>
      <c r="Y28" s="242"/>
      <c r="Z28" s="247"/>
      <c r="AA28" s="100" t="s">
        <v>990</v>
      </c>
      <c r="AB28" s="219"/>
      <c r="AC28" s="1" t="s">
        <v>892</v>
      </c>
      <c r="AD28" s="274" t="s">
        <v>241</v>
      </c>
      <c r="AE28" s="90" t="s">
        <v>960</v>
      </c>
      <c r="AF28" s="97" t="s">
        <v>242</v>
      </c>
      <c r="AG28" s="94" t="s">
        <v>941</v>
      </c>
      <c r="AH28" s="206"/>
      <c r="AI28" s="149"/>
      <c r="AJ28" s="149"/>
      <c r="AK28" s="149"/>
      <c r="AL28" s="149"/>
      <c r="AM28" s="79">
        <f>$K$28*0.85</f>
        <v>36158382.846143983</v>
      </c>
      <c r="AN28" s="79">
        <f>$K$28*0.15</f>
        <v>6380891.0904959971</v>
      </c>
      <c r="AO28" s="149"/>
      <c r="AP28" s="149"/>
      <c r="AQ28" s="149"/>
      <c r="AR28" s="149"/>
      <c r="AS28" s="149"/>
      <c r="AT28" s="149"/>
      <c r="AU28" s="149"/>
      <c r="AV28" s="149"/>
      <c r="AW28" s="149"/>
      <c r="AX28" s="149"/>
      <c r="AY28" s="149"/>
      <c r="AZ28" s="149"/>
      <c r="BA28" s="149"/>
      <c r="BB28" s="149"/>
      <c r="BC28" s="149"/>
      <c r="BD28" s="149"/>
      <c r="BE28" s="149"/>
      <c r="BF28" s="149"/>
      <c r="BG28" s="149"/>
      <c r="BH28" s="149"/>
      <c r="BI28" s="46"/>
      <c r="BJ28" s="46"/>
      <c r="BK28" s="288" t="b">
        <f>K28=SUM(AH28:BJ28)</f>
        <v>1</v>
      </c>
      <c r="BM28" s="348"/>
      <c r="BN28" s="360">
        <f t="shared" si="1"/>
        <v>0</v>
      </c>
      <c r="BO28" s="360">
        <f t="shared" si="2"/>
        <v>0</v>
      </c>
      <c r="BP28" s="360">
        <f t="shared" si="3"/>
        <v>0</v>
      </c>
      <c r="BQ28" s="360">
        <f t="shared" si="4"/>
        <v>0</v>
      </c>
      <c r="BR28" s="360">
        <f t="shared" si="5"/>
        <v>0</v>
      </c>
      <c r="BS28" s="360">
        <f t="shared" si="6"/>
        <v>0</v>
      </c>
      <c r="BT28" s="360">
        <f t="shared" si="7"/>
        <v>0</v>
      </c>
      <c r="BU28" s="360">
        <f t="shared" si="8"/>
        <v>0</v>
      </c>
      <c r="BV28" s="360">
        <f t="shared" si="9"/>
        <v>0</v>
      </c>
      <c r="BW28" s="360">
        <f t="shared" si="10"/>
        <v>0</v>
      </c>
      <c r="BX28" s="360">
        <f t="shared" si="11"/>
        <v>0</v>
      </c>
      <c r="BY28" s="360">
        <f t="shared" si="12"/>
        <v>0</v>
      </c>
      <c r="BZ28" s="360">
        <f t="shared" si="13"/>
        <v>0</v>
      </c>
      <c r="CA28" s="360">
        <f t="shared" si="14"/>
        <v>0</v>
      </c>
      <c r="CB28" s="360">
        <f t="shared" si="15"/>
        <v>0</v>
      </c>
      <c r="CC28" s="360">
        <f t="shared" si="16"/>
        <v>0</v>
      </c>
      <c r="CD28" s="360">
        <f t="shared" si="17"/>
        <v>0</v>
      </c>
      <c r="CE28" s="360">
        <f t="shared" si="18"/>
        <v>0</v>
      </c>
      <c r="CF28" s="360">
        <f t="shared" si="19"/>
        <v>0</v>
      </c>
      <c r="CG28" s="360">
        <f t="shared" si="20"/>
        <v>0</v>
      </c>
      <c r="CH28" s="360">
        <f t="shared" si="21"/>
        <v>0</v>
      </c>
      <c r="CI28" s="360">
        <f t="shared" si="22"/>
        <v>0</v>
      </c>
      <c r="CJ28" s="360">
        <f t="shared" si="23"/>
        <v>0</v>
      </c>
      <c r="CK28" s="360">
        <f t="shared" si="24"/>
        <v>0</v>
      </c>
      <c r="CL28" s="360">
        <f t="shared" si="25"/>
        <v>0</v>
      </c>
      <c r="CM28" s="360">
        <f t="shared" si="26"/>
        <v>0</v>
      </c>
      <c r="CN28" s="360">
        <f t="shared" si="27"/>
        <v>0</v>
      </c>
      <c r="CO28" s="360">
        <f t="shared" si="28"/>
        <v>0</v>
      </c>
      <c r="CP28" s="360">
        <f t="shared" si="29"/>
        <v>0</v>
      </c>
      <c r="CQ28" s="360">
        <f t="shared" si="30"/>
        <v>0</v>
      </c>
      <c r="CR28" s="360">
        <f t="shared" si="31"/>
        <v>0</v>
      </c>
      <c r="CS28" s="360">
        <f t="shared" si="32"/>
        <v>0</v>
      </c>
      <c r="CT28" s="360">
        <f t="shared" si="33"/>
        <v>10330966.52746971</v>
      </c>
      <c r="CU28" s="360">
        <f t="shared" si="34"/>
        <v>25827416.318674274</v>
      </c>
      <c r="CV28" s="360">
        <f t="shared" si="35"/>
        <v>0</v>
      </c>
      <c r="CW28" s="360">
        <f t="shared" si="36"/>
        <v>0</v>
      </c>
      <c r="CX28" s="360">
        <f t="shared" si="37"/>
        <v>0</v>
      </c>
      <c r="CY28" s="360">
        <f t="shared" si="38"/>
        <v>0</v>
      </c>
      <c r="CZ28" s="360">
        <f t="shared" si="39"/>
        <v>1823111.7401417133</v>
      </c>
      <c r="DA28" s="360">
        <f t="shared" si="40"/>
        <v>4557779.350354284</v>
      </c>
      <c r="DB28" s="360">
        <f t="shared" si="41"/>
        <v>0</v>
      </c>
      <c r="DC28" s="360">
        <f t="shared" si="42"/>
        <v>0</v>
      </c>
      <c r="DD28" s="360">
        <f t="shared" si="43"/>
        <v>0</v>
      </c>
      <c r="DE28" s="360">
        <f t="shared" si="44"/>
        <v>0</v>
      </c>
      <c r="DF28" s="360">
        <f t="shared" si="45"/>
        <v>0</v>
      </c>
      <c r="DG28" s="360">
        <f t="shared" si="46"/>
        <v>0</v>
      </c>
      <c r="DH28" s="360">
        <f t="shared" si="47"/>
        <v>0</v>
      </c>
      <c r="DI28" s="360">
        <f t="shared" si="48"/>
        <v>0</v>
      </c>
    </row>
    <row r="29" spans="1:144" ht="56" x14ac:dyDescent="0.3">
      <c r="A29" s="55" t="s">
        <v>991</v>
      </c>
      <c r="B29" s="90"/>
      <c r="C29" s="6" t="s">
        <v>992</v>
      </c>
      <c r="D29" s="145" t="s">
        <v>443</v>
      </c>
      <c r="E29" s="6" t="s">
        <v>983</v>
      </c>
      <c r="F29" s="109" t="s">
        <v>984</v>
      </c>
      <c r="G29" s="111">
        <v>12707287.102079995</v>
      </c>
      <c r="H29" s="114" t="s">
        <v>957</v>
      </c>
      <c r="I29" s="57">
        <v>0</v>
      </c>
      <c r="J29" s="57">
        <f t="shared" si="54"/>
        <v>12707287.102079995</v>
      </c>
      <c r="K29" s="112">
        <f>J29</f>
        <v>12707287.102079995</v>
      </c>
      <c r="L29" s="147" t="s">
        <v>872</v>
      </c>
      <c r="M29" s="389">
        <f>J29-K29</f>
        <v>0</v>
      </c>
      <c r="N29" s="100" t="s">
        <v>993</v>
      </c>
      <c r="O29" s="6"/>
      <c r="P29" s="6"/>
      <c r="Q29" s="6"/>
      <c r="R29" s="6"/>
      <c r="S29" s="269"/>
      <c r="T29" s="270"/>
      <c r="U29" s="245"/>
      <c r="V29" s="245"/>
      <c r="W29" s="245"/>
      <c r="X29" s="245"/>
      <c r="Y29" s="242">
        <v>1</v>
      </c>
      <c r="Z29" s="247"/>
      <c r="AA29" s="100" t="s">
        <v>994</v>
      </c>
      <c r="AB29" s="219"/>
      <c r="AC29" s="6" t="s">
        <v>959</v>
      </c>
      <c r="AD29" s="276" t="s">
        <v>382</v>
      </c>
      <c r="AE29" s="90" t="s">
        <v>960</v>
      </c>
      <c r="AF29" s="97" t="s">
        <v>242</v>
      </c>
      <c r="AG29" s="94" t="s">
        <v>941</v>
      </c>
      <c r="AH29" s="206"/>
      <c r="AI29" s="149"/>
      <c r="AJ29" s="149"/>
      <c r="AK29" s="149"/>
      <c r="AL29" s="149"/>
      <c r="AM29" s="79">
        <f>$K$29*0.85</f>
        <v>10801194.036767995</v>
      </c>
      <c r="AN29" s="79">
        <f>$K$29*0.15</f>
        <v>1906093.0653119991</v>
      </c>
      <c r="AO29" s="149"/>
      <c r="AP29" s="149"/>
      <c r="AQ29" s="149"/>
      <c r="AR29" s="149"/>
      <c r="AS29" s="149"/>
      <c r="AT29" s="149"/>
      <c r="AU29" s="149"/>
      <c r="AV29" s="149"/>
      <c r="AW29" s="149"/>
      <c r="AX29" s="149"/>
      <c r="AY29" s="149"/>
      <c r="AZ29" s="149"/>
      <c r="BA29" s="149"/>
      <c r="BB29" s="149"/>
      <c r="BC29" s="149"/>
      <c r="BD29" s="149"/>
      <c r="BE29" s="149"/>
      <c r="BF29" s="149"/>
      <c r="BG29" s="149"/>
      <c r="BH29" s="149"/>
      <c r="BI29" s="46"/>
      <c r="BJ29" s="46"/>
      <c r="BK29" s="288" t="b">
        <f>K29=SUM(AH29:BJ29)</f>
        <v>1</v>
      </c>
      <c r="BM29" s="348"/>
      <c r="BN29" s="360">
        <f t="shared" si="1"/>
        <v>0</v>
      </c>
      <c r="BO29" s="360">
        <f t="shared" si="2"/>
        <v>0</v>
      </c>
      <c r="BP29" s="360">
        <f t="shared" si="3"/>
        <v>0</v>
      </c>
      <c r="BQ29" s="360">
        <f t="shared" si="4"/>
        <v>0</v>
      </c>
      <c r="BR29" s="360">
        <f t="shared" si="5"/>
        <v>0</v>
      </c>
      <c r="BS29" s="360">
        <f t="shared" si="6"/>
        <v>0</v>
      </c>
      <c r="BT29" s="360">
        <f t="shared" si="7"/>
        <v>0</v>
      </c>
      <c r="BU29" s="360">
        <f t="shared" si="8"/>
        <v>0</v>
      </c>
      <c r="BV29" s="360">
        <f t="shared" si="9"/>
        <v>0</v>
      </c>
      <c r="BW29" s="360">
        <f t="shared" si="10"/>
        <v>0</v>
      </c>
      <c r="BX29" s="360">
        <f t="shared" si="11"/>
        <v>0</v>
      </c>
      <c r="BY29" s="360">
        <f t="shared" si="12"/>
        <v>0</v>
      </c>
      <c r="BZ29" s="360">
        <f t="shared" si="13"/>
        <v>0</v>
      </c>
      <c r="CA29" s="360">
        <f t="shared" si="14"/>
        <v>0</v>
      </c>
      <c r="CB29" s="360">
        <f t="shared" si="15"/>
        <v>0</v>
      </c>
      <c r="CC29" s="360">
        <f t="shared" si="16"/>
        <v>0</v>
      </c>
      <c r="CD29" s="360">
        <f t="shared" si="17"/>
        <v>0</v>
      </c>
      <c r="CE29" s="360">
        <f t="shared" si="18"/>
        <v>0</v>
      </c>
      <c r="CF29" s="360">
        <f t="shared" si="19"/>
        <v>0</v>
      </c>
      <c r="CG29" s="360">
        <f t="shared" si="20"/>
        <v>0</v>
      </c>
      <c r="CH29" s="360">
        <f t="shared" si="21"/>
        <v>0</v>
      </c>
      <c r="CI29" s="360">
        <f t="shared" si="22"/>
        <v>0</v>
      </c>
      <c r="CJ29" s="360">
        <f t="shared" si="23"/>
        <v>0</v>
      </c>
      <c r="CK29" s="360">
        <f t="shared" si="24"/>
        <v>0</v>
      </c>
      <c r="CL29" s="360">
        <f t="shared" si="25"/>
        <v>0</v>
      </c>
      <c r="CM29" s="360">
        <f t="shared" si="26"/>
        <v>0</v>
      </c>
      <c r="CN29" s="360">
        <f t="shared" si="27"/>
        <v>0</v>
      </c>
      <c r="CO29" s="360">
        <f t="shared" si="28"/>
        <v>0</v>
      </c>
      <c r="CP29" s="360">
        <f t="shared" si="29"/>
        <v>0</v>
      </c>
      <c r="CQ29" s="360">
        <f t="shared" si="30"/>
        <v>0</v>
      </c>
      <c r="CR29" s="360">
        <f t="shared" si="31"/>
        <v>0</v>
      </c>
      <c r="CS29" s="360">
        <f t="shared" si="32"/>
        <v>0</v>
      </c>
      <c r="CT29" s="360">
        <f t="shared" si="33"/>
        <v>0</v>
      </c>
      <c r="CU29" s="360">
        <f t="shared" si="34"/>
        <v>0</v>
      </c>
      <c r="CV29" s="360">
        <f t="shared" si="35"/>
        <v>10801194.036767995</v>
      </c>
      <c r="CW29" s="360">
        <f t="shared" si="36"/>
        <v>0</v>
      </c>
      <c r="CX29" s="360">
        <f t="shared" si="37"/>
        <v>0</v>
      </c>
      <c r="CY29" s="360">
        <f t="shared" si="38"/>
        <v>0</v>
      </c>
      <c r="CZ29" s="360">
        <f t="shared" si="39"/>
        <v>0</v>
      </c>
      <c r="DA29" s="360">
        <f t="shared" si="40"/>
        <v>0</v>
      </c>
      <c r="DB29" s="360">
        <f t="shared" si="41"/>
        <v>1906093.0653119991</v>
      </c>
      <c r="DC29" s="360">
        <f t="shared" si="42"/>
        <v>0</v>
      </c>
      <c r="DD29" s="360">
        <f t="shared" si="43"/>
        <v>0</v>
      </c>
      <c r="DE29" s="360">
        <f t="shared" si="44"/>
        <v>0</v>
      </c>
      <c r="DF29" s="360">
        <f t="shared" si="45"/>
        <v>0</v>
      </c>
      <c r="DG29" s="360">
        <f t="shared" si="46"/>
        <v>0</v>
      </c>
      <c r="DH29" s="360">
        <f t="shared" si="47"/>
        <v>0</v>
      </c>
      <c r="DI29" s="360">
        <f t="shared" si="48"/>
        <v>0</v>
      </c>
    </row>
    <row r="30" spans="1:144" s="392" customFormat="1" ht="14" x14ac:dyDescent="0.3">
      <c r="A30" s="52" t="s">
        <v>995</v>
      </c>
      <c r="B30" s="144"/>
      <c r="C30" s="13"/>
      <c r="D30" s="33"/>
      <c r="E30" s="13"/>
      <c r="F30" s="198"/>
      <c r="G30" s="154"/>
      <c r="H30" s="34"/>
      <c r="I30" s="34"/>
      <c r="J30" s="34"/>
      <c r="K30" s="34"/>
      <c r="L30" s="34"/>
      <c r="M30" s="203"/>
      <c r="N30" s="156"/>
      <c r="O30" s="28"/>
      <c r="P30" s="28"/>
      <c r="Q30" s="28"/>
      <c r="R30" s="28"/>
      <c r="S30" s="28"/>
      <c r="T30" s="159"/>
      <c r="U30" s="260"/>
      <c r="V30" s="260"/>
      <c r="W30" s="260"/>
      <c r="X30" s="260"/>
      <c r="Y30" s="260"/>
      <c r="Z30" s="261"/>
      <c r="AA30" s="200"/>
      <c r="AB30" s="52"/>
      <c r="AC30" s="13"/>
      <c r="AD30" s="13"/>
      <c r="AE30" s="144"/>
      <c r="AF30" s="148"/>
      <c r="AG30" s="198"/>
      <c r="AH30" s="208"/>
      <c r="AI30" s="51"/>
      <c r="AJ30" s="51"/>
      <c r="AK30" s="51"/>
      <c r="AL30" s="51"/>
      <c r="AM30" s="51"/>
      <c r="AN30" s="150"/>
      <c r="AO30" s="51"/>
      <c r="AP30" s="51"/>
      <c r="AQ30" s="51"/>
      <c r="AR30" s="51"/>
      <c r="AS30" s="51"/>
      <c r="AT30" s="51"/>
      <c r="AU30" s="51"/>
      <c r="AV30" s="51"/>
      <c r="AW30" s="51"/>
      <c r="AX30" s="51"/>
      <c r="AY30" s="51"/>
      <c r="AZ30" s="51"/>
      <c r="BA30" s="51"/>
      <c r="BB30" s="51"/>
      <c r="BC30" s="51"/>
      <c r="BD30" s="51"/>
      <c r="BE30" s="51"/>
      <c r="BF30" s="51"/>
      <c r="BG30" s="51"/>
      <c r="BH30" s="51"/>
      <c r="BI30" s="151"/>
      <c r="BJ30" s="151"/>
      <c r="BK30" s="288"/>
      <c r="BL30" s="345"/>
      <c r="BM30" s="348"/>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345"/>
      <c r="DK30" s="345"/>
      <c r="DL30" s="345"/>
      <c r="DM30" s="345"/>
      <c r="DN30" s="345"/>
      <c r="DO30" s="345"/>
      <c r="DP30" s="345"/>
      <c r="DQ30" s="345"/>
      <c r="DR30" s="345"/>
      <c r="DS30" s="345"/>
      <c r="DT30" s="345"/>
      <c r="DU30" s="345"/>
      <c r="DV30" s="345"/>
      <c r="DW30" s="345"/>
      <c r="DX30" s="345"/>
      <c r="DY30" s="345"/>
      <c r="DZ30" s="345"/>
      <c r="EA30" s="345"/>
      <c r="EB30" s="345"/>
      <c r="EC30" s="345"/>
      <c r="ED30" s="345"/>
      <c r="EE30" s="345"/>
      <c r="EF30" s="345"/>
      <c r="EG30" s="345"/>
      <c r="EH30" s="345"/>
      <c r="EI30" s="345"/>
      <c r="EJ30" s="345"/>
      <c r="EK30" s="345"/>
      <c r="EL30" s="345"/>
      <c r="EM30" s="345"/>
      <c r="EN30" s="345"/>
    </row>
    <row r="31" spans="1:144" ht="98" x14ac:dyDescent="0.3">
      <c r="A31" s="55" t="s">
        <v>996</v>
      </c>
      <c r="B31" s="90"/>
      <c r="C31" s="6" t="s">
        <v>997</v>
      </c>
      <c r="D31" s="271" t="s">
        <v>443</v>
      </c>
      <c r="E31" s="6" t="s">
        <v>998</v>
      </c>
      <c r="F31" s="393" t="s">
        <v>999</v>
      </c>
      <c r="G31" s="111">
        <v>11000000</v>
      </c>
      <c r="H31" s="147" t="s">
        <v>1000</v>
      </c>
      <c r="I31" s="57"/>
      <c r="J31" s="57">
        <f t="shared" si="54"/>
        <v>11000000</v>
      </c>
      <c r="K31" s="112">
        <f>J31</f>
        <v>11000000</v>
      </c>
      <c r="L31" s="147" t="s">
        <v>872</v>
      </c>
      <c r="M31" s="389">
        <f>J31-K31</f>
        <v>0</v>
      </c>
      <c r="N31" s="100" t="s">
        <v>421</v>
      </c>
      <c r="O31" s="269"/>
      <c r="P31" s="269"/>
      <c r="Q31" s="269"/>
      <c r="R31" s="269"/>
      <c r="S31" s="269"/>
      <c r="T31" s="270"/>
      <c r="U31" s="242">
        <f>[1]Phasing!D34</f>
        <v>6.7676767676767682E-2</v>
      </c>
      <c r="V31" s="242">
        <f>[1]Phasing!E34</f>
        <v>0.25656565656565655</v>
      </c>
      <c r="W31" s="242">
        <f>[1]Phasing!F34</f>
        <v>0.25454545454545452</v>
      </c>
      <c r="X31" s="242">
        <f>[1]Phasing!G34</f>
        <v>9.0909090909090912E-2</v>
      </c>
      <c r="Y31" s="242">
        <f>[1]Phasing!H34</f>
        <v>9.0909090909090912E-2</v>
      </c>
      <c r="Z31" s="247">
        <f>[1]Phasing!I34</f>
        <v>0.23939393939393938</v>
      </c>
      <c r="AA31" s="100" t="s">
        <v>1001</v>
      </c>
      <c r="AB31" s="1"/>
      <c r="AC31" s="1" t="s">
        <v>959</v>
      </c>
      <c r="AD31" s="275" t="s">
        <v>346</v>
      </c>
      <c r="AE31" s="90"/>
      <c r="AF31" s="97" t="s">
        <v>242</v>
      </c>
      <c r="AG31" s="94" t="s">
        <v>293</v>
      </c>
      <c r="AH31" s="394">
        <f>$K$31*'[1]Apportionment %'!C18</f>
        <v>466497.03138252755</v>
      </c>
      <c r="AI31" s="395">
        <f>$K$31*'[1]Apportionment %'!D18</f>
        <v>1617189.7087927624</v>
      </c>
      <c r="AJ31" s="395">
        <f>$K$31*'[1]Apportionment %'!E18</f>
        <v>653095.84393553867</v>
      </c>
      <c r="AK31" s="395">
        <f>$K$31*'[1]Apportionment %'!F18</f>
        <v>501950.80576759967</v>
      </c>
      <c r="AL31" s="395">
        <f>$K$31*'[1]Apportionment %'!G18</f>
        <v>827876.73169352568</v>
      </c>
      <c r="AM31" s="395">
        <f>$K$31*'[1]Apportionment %'!H18</f>
        <v>5286966.3556686463</v>
      </c>
      <c r="AN31" s="395">
        <f>$K$31*'[1]Apportionment %'!I18</f>
        <v>932994.0627650551</v>
      </c>
      <c r="AO31" s="395">
        <f>$K$31*'[1]Apportionment %'!J18</f>
        <v>404297.42719819059</v>
      </c>
      <c r="AP31" s="395">
        <f>$K$31*'[1]Apportionment %'!K18</f>
        <v>43539.722929035903</v>
      </c>
      <c r="AQ31" s="395">
        <f>$K$31*'[1]Apportionment %'!L18</f>
        <v>42917.726887192541</v>
      </c>
      <c r="AR31" s="395">
        <f>$K$31*'[1]Apportionment %'!M18</f>
        <v>26123.833757421544</v>
      </c>
      <c r="AS31" s="395">
        <f>$K$31*'[1]Apportionment %'!N18</f>
        <v>22391.857506361324</v>
      </c>
      <c r="AT31" s="395">
        <f>$K$31*'[1]Apportionment %'!O18</f>
        <v>21769.861464517951</v>
      </c>
      <c r="AU31" s="395">
        <f>$K$31*'[1]Apportionment %'!P18</f>
        <v>21769.861464517951</v>
      </c>
      <c r="AV31" s="395">
        <f>$K$31*'[1]Apportionment %'!Q18</f>
        <v>21769.861464517951</v>
      </c>
      <c r="AW31" s="395">
        <f>$K$31*'[1]Apportionment %'!R18</f>
        <v>14305.908962397511</v>
      </c>
      <c r="AX31" s="395">
        <f>$K$31*'[1]Apportionment %'!S18</f>
        <v>12439.920836867401</v>
      </c>
      <c r="AY31" s="395">
        <f>$K$31*'[1]Apportionment %'!T18</f>
        <v>9951.9366694939217</v>
      </c>
      <c r="AZ31" s="395">
        <f>$K$31*'[1]Apportionment %'!U18</f>
        <v>9951.9366694939217</v>
      </c>
      <c r="BA31" s="395">
        <f>$K$31*'[1]Apportionment %'!V18</f>
        <v>9329.9406276505506</v>
      </c>
      <c r="BB31" s="395">
        <f>$K$31*'[1]Apportionment %'!W18</f>
        <v>8085.9485439638111</v>
      </c>
      <c r="BC31" s="395">
        <f>$K$31*'[1]Apportionment %'!X18</f>
        <v>7463.9525021204408</v>
      </c>
      <c r="BD31" s="395">
        <f>$K$31*'[1]Apportionment %'!Y18</f>
        <v>6219.9604184337004</v>
      </c>
      <c r="BE31" s="395">
        <f>$K$31*'[1]Apportionment %'!Z18</f>
        <v>6219.9604184337004</v>
      </c>
      <c r="BF31" s="395">
        <f>$K$31*'[1]Apportionment %'!AA18</f>
        <v>6219.9604184337004</v>
      </c>
      <c r="BG31" s="395">
        <f>$K$31*'[1]Apportionment %'!AB18</f>
        <v>6219.9604184337004</v>
      </c>
      <c r="BH31" s="395">
        <f>$K$31*'[1]Apportionment %'!AC18</f>
        <v>6219.9604184337004</v>
      </c>
      <c r="BI31" s="395">
        <f>$K$31*'[1]Apportionment %'!AD18</f>
        <v>6219.9604184337004</v>
      </c>
      <c r="BJ31" s="46"/>
      <c r="BK31" s="288" t="b">
        <f>K31=SUM(AH31:BJ31)</f>
        <v>1</v>
      </c>
      <c r="BM31" s="348"/>
      <c r="BN31" s="360">
        <f t="shared" si="1"/>
        <v>31571.011214777121</v>
      </c>
      <c r="BO31" s="360">
        <f t="shared" si="2"/>
        <v>119687.11714258787</v>
      </c>
      <c r="BP31" s="360">
        <f t="shared" si="3"/>
        <v>118744.69889737063</v>
      </c>
      <c r="BQ31" s="360">
        <f t="shared" si="4"/>
        <v>42408.821034775232</v>
      </c>
      <c r="BR31" s="360">
        <f t="shared" si="5"/>
        <v>42408.821034775232</v>
      </c>
      <c r="BS31" s="360">
        <f t="shared" si="6"/>
        <v>111676.56205824144</v>
      </c>
      <c r="BT31" s="360">
        <f t="shared" si="7"/>
        <v>109446.17221122736</v>
      </c>
      <c r="BU31" s="360">
        <f t="shared" si="8"/>
        <v>414915.33942763798</v>
      </c>
      <c r="BV31" s="360">
        <f t="shared" si="9"/>
        <v>411648.2895108849</v>
      </c>
      <c r="BW31" s="360">
        <f t="shared" si="10"/>
        <v>147017.24625388748</v>
      </c>
      <c r="BX31" s="360">
        <f t="shared" si="11"/>
        <v>147017.24625388748</v>
      </c>
      <c r="BY31" s="360">
        <f t="shared" si="12"/>
        <v>387145.41513523704</v>
      </c>
      <c r="BZ31" s="360">
        <f t="shared" si="13"/>
        <v>44199.415700687976</v>
      </c>
      <c r="CA31" s="360">
        <f t="shared" si="14"/>
        <v>167561.96399962305</v>
      </c>
      <c r="CB31" s="360">
        <f t="shared" si="15"/>
        <v>166242.57845631891</v>
      </c>
      <c r="CC31" s="360">
        <f t="shared" si="16"/>
        <v>59372.349448685338</v>
      </c>
      <c r="CD31" s="360">
        <f t="shared" si="17"/>
        <v>59372.349448685338</v>
      </c>
      <c r="CE31" s="360">
        <f t="shared" si="18"/>
        <v>156347.18688153804</v>
      </c>
      <c r="CF31" s="360">
        <f t="shared" si="19"/>
        <v>33970.408067100179</v>
      </c>
      <c r="CG31" s="360">
        <f t="shared" si="20"/>
        <v>128783.33804542455</v>
      </c>
      <c r="CH31" s="360">
        <f t="shared" si="21"/>
        <v>127769.29601357081</v>
      </c>
      <c r="CI31" s="360">
        <f t="shared" si="22"/>
        <v>45631.891433418154</v>
      </c>
      <c r="CJ31" s="360">
        <f t="shared" si="23"/>
        <v>45631.891433418154</v>
      </c>
      <c r="CK31" s="360">
        <f t="shared" si="24"/>
        <v>120163.9807746678</v>
      </c>
      <c r="CL31" s="360">
        <f t="shared" si="25"/>
        <v>56028.021235824468</v>
      </c>
      <c r="CM31" s="360">
        <f t="shared" si="26"/>
        <v>212404.73722237931</v>
      </c>
      <c r="CN31" s="360">
        <f t="shared" si="27"/>
        <v>210732.25897653378</v>
      </c>
      <c r="CO31" s="360">
        <f t="shared" si="28"/>
        <v>75261.521063047796</v>
      </c>
      <c r="CP31" s="360">
        <f t="shared" si="29"/>
        <v>75261.521063047796</v>
      </c>
      <c r="CQ31" s="360">
        <f t="shared" si="30"/>
        <v>198188.6721326925</v>
      </c>
      <c r="CR31" s="360">
        <f t="shared" si="31"/>
        <v>357804.79376747407</v>
      </c>
      <c r="CS31" s="360">
        <f t="shared" si="32"/>
        <v>1356453.9942826626</v>
      </c>
      <c r="CT31" s="360">
        <f t="shared" si="33"/>
        <v>1345773.2541702008</v>
      </c>
      <c r="CU31" s="360">
        <f t="shared" si="34"/>
        <v>480633.30506078602</v>
      </c>
      <c r="CV31" s="360">
        <f t="shared" si="35"/>
        <v>480633.30506078602</v>
      </c>
      <c r="CW31" s="360">
        <f t="shared" si="36"/>
        <v>1265667.7033267366</v>
      </c>
      <c r="CX31" s="360">
        <f t="shared" si="37"/>
        <v>63142.022429554243</v>
      </c>
      <c r="CY31" s="360">
        <f t="shared" si="38"/>
        <v>239374.23428517574</v>
      </c>
      <c r="CZ31" s="360">
        <f t="shared" si="39"/>
        <v>237489.39779474126</v>
      </c>
      <c r="DA31" s="360">
        <f t="shared" si="40"/>
        <v>84817.642069550464</v>
      </c>
      <c r="DB31" s="360">
        <f t="shared" si="41"/>
        <v>84817.642069550464</v>
      </c>
      <c r="DC31" s="360">
        <f t="shared" si="42"/>
        <v>223353.12411648288</v>
      </c>
      <c r="DD31" s="360">
        <f t="shared" si="43"/>
        <v>27361.543052806839</v>
      </c>
      <c r="DE31" s="360">
        <f t="shared" si="44"/>
        <v>103728.8348569095</v>
      </c>
      <c r="DF31" s="360">
        <f t="shared" si="45"/>
        <v>102912.07237772123</v>
      </c>
      <c r="DG31" s="360">
        <f t="shared" si="46"/>
        <v>36754.311563471871</v>
      </c>
      <c r="DH31" s="360">
        <f t="shared" si="47"/>
        <v>36754.311563471871</v>
      </c>
      <c r="DI31" s="360">
        <f t="shared" si="48"/>
        <v>96786.35378380926</v>
      </c>
    </row>
    <row r="32" spans="1:144" ht="28" x14ac:dyDescent="0.3">
      <c r="A32" s="55" t="s">
        <v>1002</v>
      </c>
      <c r="B32" s="90" t="s">
        <v>1003</v>
      </c>
      <c r="C32" s="1" t="s">
        <v>1004</v>
      </c>
      <c r="D32" s="146" t="s">
        <v>443</v>
      </c>
      <c r="E32" s="1" t="s">
        <v>298</v>
      </c>
      <c r="F32" s="94" t="s">
        <v>1005</v>
      </c>
      <c r="G32" s="111" t="s">
        <v>371</v>
      </c>
      <c r="H32" s="147"/>
      <c r="I32" s="57" t="str">
        <f>G32</f>
        <v>Unknown</v>
      </c>
      <c r="J32" s="57" t="str">
        <f>I32</f>
        <v>Unknown</v>
      </c>
      <c r="K32" s="112">
        <v>0</v>
      </c>
      <c r="L32" s="143"/>
      <c r="M32" s="389" t="s">
        <v>371</v>
      </c>
      <c r="N32" s="100" t="s">
        <v>371</v>
      </c>
      <c r="O32" s="35"/>
      <c r="P32" s="35"/>
      <c r="Q32" s="35"/>
      <c r="R32" s="35"/>
      <c r="S32" s="35"/>
      <c r="T32" s="204"/>
      <c r="U32" s="262"/>
      <c r="V32" s="262"/>
      <c r="W32" s="262"/>
      <c r="X32" s="262"/>
      <c r="Y32" s="262"/>
      <c r="Z32" s="263"/>
      <c r="AA32" s="96"/>
      <c r="AB32" s="1" t="s">
        <v>309</v>
      </c>
      <c r="AC32" s="1" t="s">
        <v>874</v>
      </c>
      <c r="AD32" s="276" t="s">
        <v>382</v>
      </c>
      <c r="AE32" s="90"/>
      <c r="AF32" s="97" t="s">
        <v>242</v>
      </c>
      <c r="AG32" s="94" t="s">
        <v>293</v>
      </c>
      <c r="AH32" s="206"/>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46"/>
      <c r="BJ32" s="46"/>
      <c r="BK32" s="288" t="b">
        <f>K32=SUM(AH32:BJ32)</f>
        <v>1</v>
      </c>
      <c r="BM32" s="348"/>
      <c r="BN32" s="360">
        <f t="shared" si="1"/>
        <v>0</v>
      </c>
      <c r="BO32" s="360">
        <f t="shared" si="2"/>
        <v>0</v>
      </c>
      <c r="BP32" s="360">
        <f t="shared" si="3"/>
        <v>0</v>
      </c>
      <c r="BQ32" s="360">
        <f t="shared" si="4"/>
        <v>0</v>
      </c>
      <c r="BR32" s="360">
        <f t="shared" si="5"/>
        <v>0</v>
      </c>
      <c r="BS32" s="360">
        <f t="shared" si="6"/>
        <v>0</v>
      </c>
      <c r="BT32" s="360">
        <f t="shared" si="7"/>
        <v>0</v>
      </c>
      <c r="BU32" s="360">
        <f t="shared" si="8"/>
        <v>0</v>
      </c>
      <c r="BV32" s="360">
        <f t="shared" si="9"/>
        <v>0</v>
      </c>
      <c r="BW32" s="360">
        <f t="shared" si="10"/>
        <v>0</v>
      </c>
      <c r="BX32" s="360">
        <f t="shared" si="11"/>
        <v>0</v>
      </c>
      <c r="BY32" s="360">
        <f t="shared" si="12"/>
        <v>0</v>
      </c>
      <c r="BZ32" s="360">
        <f t="shared" si="13"/>
        <v>0</v>
      </c>
      <c r="CA32" s="360">
        <f t="shared" si="14"/>
        <v>0</v>
      </c>
      <c r="CB32" s="360">
        <f t="shared" si="15"/>
        <v>0</v>
      </c>
      <c r="CC32" s="360">
        <f t="shared" si="16"/>
        <v>0</v>
      </c>
      <c r="CD32" s="360">
        <f t="shared" si="17"/>
        <v>0</v>
      </c>
      <c r="CE32" s="360">
        <f t="shared" si="18"/>
        <v>0</v>
      </c>
      <c r="CF32" s="360">
        <f t="shared" si="19"/>
        <v>0</v>
      </c>
      <c r="CG32" s="360">
        <f t="shared" si="20"/>
        <v>0</v>
      </c>
      <c r="CH32" s="360">
        <f t="shared" si="21"/>
        <v>0</v>
      </c>
      <c r="CI32" s="360">
        <f t="shared" si="22"/>
        <v>0</v>
      </c>
      <c r="CJ32" s="360">
        <f t="shared" si="23"/>
        <v>0</v>
      </c>
      <c r="CK32" s="360">
        <f t="shared" si="24"/>
        <v>0</v>
      </c>
      <c r="CL32" s="360">
        <f t="shared" si="25"/>
        <v>0</v>
      </c>
      <c r="CM32" s="360">
        <f t="shared" si="26"/>
        <v>0</v>
      </c>
      <c r="CN32" s="360">
        <f t="shared" si="27"/>
        <v>0</v>
      </c>
      <c r="CO32" s="360">
        <f t="shared" si="28"/>
        <v>0</v>
      </c>
      <c r="CP32" s="360">
        <f t="shared" si="29"/>
        <v>0</v>
      </c>
      <c r="CQ32" s="360">
        <f t="shared" si="30"/>
        <v>0</v>
      </c>
      <c r="CR32" s="360">
        <f t="shared" si="31"/>
        <v>0</v>
      </c>
      <c r="CS32" s="360">
        <f t="shared" si="32"/>
        <v>0</v>
      </c>
      <c r="CT32" s="360">
        <f t="shared" si="33"/>
        <v>0</v>
      </c>
      <c r="CU32" s="360">
        <f t="shared" si="34"/>
        <v>0</v>
      </c>
      <c r="CV32" s="360">
        <f t="shared" si="35"/>
        <v>0</v>
      </c>
      <c r="CW32" s="360">
        <f t="shared" si="36"/>
        <v>0</v>
      </c>
      <c r="CX32" s="360">
        <f t="shared" si="37"/>
        <v>0</v>
      </c>
      <c r="CY32" s="360">
        <f t="shared" si="38"/>
        <v>0</v>
      </c>
      <c r="CZ32" s="360">
        <f t="shared" si="39"/>
        <v>0</v>
      </c>
      <c r="DA32" s="360">
        <f t="shared" si="40"/>
        <v>0</v>
      </c>
      <c r="DB32" s="360">
        <f t="shared" si="41"/>
        <v>0</v>
      </c>
      <c r="DC32" s="360">
        <f t="shared" si="42"/>
        <v>0</v>
      </c>
      <c r="DD32" s="360">
        <f t="shared" si="43"/>
        <v>0</v>
      </c>
      <c r="DE32" s="360">
        <f t="shared" si="44"/>
        <v>0</v>
      </c>
      <c r="DF32" s="360">
        <f t="shared" si="45"/>
        <v>0</v>
      </c>
      <c r="DG32" s="360">
        <f t="shared" si="46"/>
        <v>0</v>
      </c>
      <c r="DH32" s="360">
        <f t="shared" si="47"/>
        <v>0</v>
      </c>
      <c r="DI32" s="360">
        <f t="shared" si="48"/>
        <v>0</v>
      </c>
    </row>
    <row r="33" spans="1:113" ht="28" x14ac:dyDescent="0.3">
      <c r="A33" s="55" t="s">
        <v>1006</v>
      </c>
      <c r="B33" s="90"/>
      <c r="C33" s="1" t="s">
        <v>1007</v>
      </c>
      <c r="D33" s="265" t="s">
        <v>297</v>
      </c>
      <c r="E33" s="1" t="s">
        <v>1008</v>
      </c>
      <c r="F33" s="109" t="s">
        <v>984</v>
      </c>
      <c r="G33" s="111" t="s">
        <v>371</v>
      </c>
      <c r="H33" s="147"/>
      <c r="I33" s="57" t="str">
        <f>G33</f>
        <v>Unknown</v>
      </c>
      <c r="J33" s="57" t="str">
        <f>I33</f>
        <v>Unknown</v>
      </c>
      <c r="K33" s="112">
        <v>0</v>
      </c>
      <c r="L33" s="143"/>
      <c r="M33" s="389" t="s">
        <v>371</v>
      </c>
      <c r="N33" s="100" t="s">
        <v>371</v>
      </c>
      <c r="O33" s="35"/>
      <c r="P33" s="35"/>
      <c r="Q33" s="35"/>
      <c r="R33" s="35"/>
      <c r="S33" s="35"/>
      <c r="T33" s="204"/>
      <c r="U33" s="262"/>
      <c r="V33" s="262"/>
      <c r="W33" s="262"/>
      <c r="X33" s="262"/>
      <c r="Y33" s="262"/>
      <c r="Z33" s="263"/>
      <c r="AA33" s="96"/>
      <c r="AB33" s="1"/>
      <c r="AC33" s="1" t="s">
        <v>1009</v>
      </c>
      <c r="AD33" s="275" t="s">
        <v>346</v>
      </c>
      <c r="AE33" s="90"/>
      <c r="AF33" s="97" t="s">
        <v>242</v>
      </c>
      <c r="AG33" s="94" t="s">
        <v>293</v>
      </c>
      <c r="AH33" s="206"/>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46"/>
      <c r="BJ33" s="46"/>
      <c r="BK33" s="288" t="b">
        <f>K33=SUM(AH33:BJ33)</f>
        <v>1</v>
      </c>
      <c r="BM33" s="348"/>
      <c r="BN33" s="360">
        <f t="shared" si="1"/>
        <v>0</v>
      </c>
      <c r="BO33" s="360">
        <f t="shared" si="2"/>
        <v>0</v>
      </c>
      <c r="BP33" s="360">
        <f t="shared" si="3"/>
        <v>0</v>
      </c>
      <c r="BQ33" s="360">
        <f t="shared" si="4"/>
        <v>0</v>
      </c>
      <c r="BR33" s="360">
        <f t="shared" si="5"/>
        <v>0</v>
      </c>
      <c r="BS33" s="360">
        <f t="shared" si="6"/>
        <v>0</v>
      </c>
      <c r="BT33" s="360">
        <f t="shared" si="7"/>
        <v>0</v>
      </c>
      <c r="BU33" s="360">
        <f t="shared" si="8"/>
        <v>0</v>
      </c>
      <c r="BV33" s="360">
        <f t="shared" si="9"/>
        <v>0</v>
      </c>
      <c r="BW33" s="360">
        <f t="shared" si="10"/>
        <v>0</v>
      </c>
      <c r="BX33" s="360">
        <f t="shared" si="11"/>
        <v>0</v>
      </c>
      <c r="BY33" s="360">
        <f t="shared" si="12"/>
        <v>0</v>
      </c>
      <c r="BZ33" s="360">
        <f t="shared" si="13"/>
        <v>0</v>
      </c>
      <c r="CA33" s="360">
        <f t="shared" si="14"/>
        <v>0</v>
      </c>
      <c r="CB33" s="360">
        <f t="shared" si="15"/>
        <v>0</v>
      </c>
      <c r="CC33" s="360">
        <f t="shared" si="16"/>
        <v>0</v>
      </c>
      <c r="CD33" s="360">
        <f t="shared" si="17"/>
        <v>0</v>
      </c>
      <c r="CE33" s="360">
        <f t="shared" si="18"/>
        <v>0</v>
      </c>
      <c r="CF33" s="360">
        <f t="shared" si="19"/>
        <v>0</v>
      </c>
      <c r="CG33" s="360">
        <f t="shared" si="20"/>
        <v>0</v>
      </c>
      <c r="CH33" s="360">
        <f t="shared" si="21"/>
        <v>0</v>
      </c>
      <c r="CI33" s="360">
        <f t="shared" si="22"/>
        <v>0</v>
      </c>
      <c r="CJ33" s="360">
        <f t="shared" si="23"/>
        <v>0</v>
      </c>
      <c r="CK33" s="360">
        <f t="shared" si="24"/>
        <v>0</v>
      </c>
      <c r="CL33" s="360">
        <f t="shared" si="25"/>
        <v>0</v>
      </c>
      <c r="CM33" s="360">
        <f t="shared" si="26"/>
        <v>0</v>
      </c>
      <c r="CN33" s="360">
        <f t="shared" si="27"/>
        <v>0</v>
      </c>
      <c r="CO33" s="360">
        <f t="shared" si="28"/>
        <v>0</v>
      </c>
      <c r="CP33" s="360">
        <f t="shared" si="29"/>
        <v>0</v>
      </c>
      <c r="CQ33" s="360">
        <f t="shared" si="30"/>
        <v>0</v>
      </c>
      <c r="CR33" s="360">
        <f t="shared" si="31"/>
        <v>0</v>
      </c>
      <c r="CS33" s="360">
        <f t="shared" si="32"/>
        <v>0</v>
      </c>
      <c r="CT33" s="360">
        <f t="shared" si="33"/>
        <v>0</v>
      </c>
      <c r="CU33" s="360">
        <f t="shared" si="34"/>
        <v>0</v>
      </c>
      <c r="CV33" s="360">
        <f t="shared" si="35"/>
        <v>0</v>
      </c>
      <c r="CW33" s="360">
        <f t="shared" si="36"/>
        <v>0</v>
      </c>
      <c r="CX33" s="360">
        <f t="shared" si="37"/>
        <v>0</v>
      </c>
      <c r="CY33" s="360">
        <f t="shared" si="38"/>
        <v>0</v>
      </c>
      <c r="CZ33" s="360">
        <f t="shared" si="39"/>
        <v>0</v>
      </c>
      <c r="DA33" s="360">
        <f t="shared" si="40"/>
        <v>0</v>
      </c>
      <c r="DB33" s="360">
        <f t="shared" si="41"/>
        <v>0</v>
      </c>
      <c r="DC33" s="360">
        <f t="shared" si="42"/>
        <v>0</v>
      </c>
      <c r="DD33" s="360">
        <f t="shared" si="43"/>
        <v>0</v>
      </c>
      <c r="DE33" s="360">
        <f t="shared" si="44"/>
        <v>0</v>
      </c>
      <c r="DF33" s="360">
        <f t="shared" si="45"/>
        <v>0</v>
      </c>
      <c r="DG33" s="360">
        <f t="shared" si="46"/>
        <v>0</v>
      </c>
      <c r="DH33" s="360">
        <f t="shared" si="47"/>
        <v>0</v>
      </c>
      <c r="DI33" s="360">
        <f t="shared" si="48"/>
        <v>0</v>
      </c>
    </row>
    <row r="34" spans="1:113" s="356" customFormat="1" ht="14" x14ac:dyDescent="0.3">
      <c r="G34" s="357">
        <f>SUM(G3:G33)</f>
        <v>311853088.23599994</v>
      </c>
      <c r="I34" s="357">
        <f>SUM(I3:I33)</f>
        <v>1092459</v>
      </c>
      <c r="J34" s="357">
        <f>SUM(J3:J33)</f>
        <v>303279629.236</v>
      </c>
      <c r="K34" s="357">
        <f>SUM(K3:K33)</f>
        <v>289810920.81100494</v>
      </c>
      <c r="M34" s="357">
        <f>SUM(M3:M33)</f>
        <v>13468708.424994998</v>
      </c>
      <c r="AE34" s="396"/>
      <c r="AG34" s="397" t="s">
        <v>15</v>
      </c>
      <c r="AH34" s="357">
        <f>SUM(AH3:AH33)</f>
        <v>9503086.4751325287</v>
      </c>
      <c r="AI34" s="357">
        <f t="shared" ref="AI34:BJ34" si="55">SUM(AI3:AI33)</f>
        <v>33727436.719841771</v>
      </c>
      <c r="AJ34" s="357">
        <f t="shared" si="55"/>
        <v>13126578.940185539</v>
      </c>
      <c r="AK34" s="357">
        <f t="shared" si="55"/>
        <v>10070617.9809049</v>
      </c>
      <c r="AL34" s="357">
        <f t="shared" si="55"/>
        <v>16609656.174206225</v>
      </c>
      <c r="AM34" s="357">
        <f t="shared" si="55"/>
        <v>161522819.79376861</v>
      </c>
      <c r="AN34" s="357">
        <f t="shared" si="55"/>
        <v>28464572.610665049</v>
      </c>
      <c r="AO34" s="357">
        <f t="shared" si="55"/>
        <v>7188189.157614857</v>
      </c>
      <c r="AP34" s="357">
        <f t="shared" si="55"/>
        <v>688763.72017903591</v>
      </c>
      <c r="AQ34" s="357">
        <f t="shared" si="55"/>
        <v>678924.23846219247</v>
      </c>
      <c r="AR34" s="357">
        <f t="shared" si="55"/>
        <v>413258.23210742156</v>
      </c>
      <c r="AS34" s="357">
        <f t="shared" si="55"/>
        <v>168772.89491537542</v>
      </c>
      <c r="AT34" s="357">
        <f t="shared" si="55"/>
        <v>164084.75894550388</v>
      </c>
      <c r="AU34" s="357">
        <f t="shared" si="55"/>
        <v>206270.91211451797</v>
      </c>
      <c r="AV34" s="357">
        <f t="shared" si="55"/>
        <v>206270.91211451797</v>
      </c>
      <c r="AW34" s="357">
        <f t="shared" si="55"/>
        <v>135549.45653239751</v>
      </c>
      <c r="AX34" s="357">
        <f t="shared" si="55"/>
        <v>89229.092636867412</v>
      </c>
      <c r="AY34" s="357">
        <f t="shared" si="55"/>
        <v>32863.936669493924</v>
      </c>
      <c r="AZ34" s="357">
        <f t="shared" si="55"/>
        <v>32863.936669493924</v>
      </c>
      <c r="BA34" s="357">
        <f t="shared" si="55"/>
        <v>9329.9406276505506</v>
      </c>
      <c r="BB34" s="357">
        <f t="shared" si="55"/>
        <v>26701.948543963812</v>
      </c>
      <c r="BC34" s="357">
        <f t="shared" si="55"/>
        <v>28250.221453115846</v>
      </c>
      <c r="BD34" s="357">
        <f t="shared" si="55"/>
        <v>6219.9604184337004</v>
      </c>
      <c r="BE34" s="357">
        <f t="shared" si="55"/>
        <v>18412.668751767036</v>
      </c>
      <c r="BF34" s="357">
        <f t="shared" si="55"/>
        <v>20539.9604184337</v>
      </c>
      <c r="BG34" s="357">
        <f t="shared" si="55"/>
        <v>6219.9604184337004</v>
      </c>
      <c r="BH34" s="357">
        <f t="shared" si="55"/>
        <v>20539.9604184337</v>
      </c>
      <c r="BI34" s="357">
        <f t="shared" si="55"/>
        <v>6219.9604184337004</v>
      </c>
      <c r="BJ34" s="357">
        <f t="shared" si="55"/>
        <v>6638676.2858699989</v>
      </c>
      <c r="BK34" s="288"/>
      <c r="BM34" s="352" t="s">
        <v>15</v>
      </c>
      <c r="BN34" s="353">
        <f>SUM(BN2:BN33)</f>
        <v>31571.011214777121</v>
      </c>
      <c r="BO34" s="353">
        <f t="shared" ref="BO34:DI34" si="56">SUM(BO2:BO33)</f>
        <v>4407316.2471425887</v>
      </c>
      <c r="BP34" s="353">
        <f t="shared" si="56"/>
        <v>4867705.0126473708</v>
      </c>
      <c r="BQ34" s="353">
        <f t="shared" si="56"/>
        <v>42408.821034775232</v>
      </c>
      <c r="BR34" s="353">
        <f t="shared" si="56"/>
        <v>42408.821034775232</v>
      </c>
      <c r="BS34" s="353">
        <f t="shared" si="56"/>
        <v>111676.56205824144</v>
      </c>
      <c r="BT34" s="353">
        <f t="shared" si="56"/>
        <v>1415516.7379654385</v>
      </c>
      <c r="BU34" s="353">
        <f t="shared" si="56"/>
        <v>17236221.363722432</v>
      </c>
      <c r="BV34" s="353">
        <f t="shared" si="56"/>
        <v>14394518.710510885</v>
      </c>
      <c r="BW34" s="353">
        <f t="shared" si="56"/>
        <v>147017.24625388748</v>
      </c>
      <c r="BX34" s="353">
        <f t="shared" si="56"/>
        <v>147017.24625388748</v>
      </c>
      <c r="BY34" s="353">
        <f t="shared" si="56"/>
        <v>387145.41513523704</v>
      </c>
      <c r="BZ34" s="353">
        <f t="shared" si="56"/>
        <v>107279.50498640226</v>
      </c>
      <c r="CA34" s="353">
        <f t="shared" si="56"/>
        <v>11947164.078106767</v>
      </c>
      <c r="CB34" s="353">
        <f t="shared" si="56"/>
        <v>797043.47131346178</v>
      </c>
      <c r="CC34" s="353">
        <f t="shared" si="56"/>
        <v>59372.349448685338</v>
      </c>
      <c r="CD34" s="353">
        <f t="shared" si="56"/>
        <v>59372.349448685338</v>
      </c>
      <c r="CE34" s="353">
        <f t="shared" si="56"/>
        <v>156347.18688153804</v>
      </c>
      <c r="CF34" s="353">
        <f t="shared" si="56"/>
        <v>81590.269670066889</v>
      </c>
      <c r="CG34" s="353">
        <f t="shared" si="56"/>
        <v>9173632.0355500896</v>
      </c>
      <c r="CH34" s="353">
        <f t="shared" si="56"/>
        <v>603967.91204323806</v>
      </c>
      <c r="CI34" s="353">
        <f t="shared" si="56"/>
        <v>45631.891433418154</v>
      </c>
      <c r="CJ34" s="353">
        <f t="shared" si="56"/>
        <v>45631.891433418154</v>
      </c>
      <c r="CK34" s="353">
        <f t="shared" si="56"/>
        <v>120163.9807746678</v>
      </c>
      <c r="CL34" s="353">
        <f t="shared" si="56"/>
        <v>134568.33820428632</v>
      </c>
      <c r="CM34" s="353">
        <f t="shared" si="56"/>
        <v>15130240.693081999</v>
      </c>
      <c r="CN34" s="353">
        <f t="shared" si="56"/>
        <v>996135.42866115225</v>
      </c>
      <c r="CO34" s="353">
        <f t="shared" si="56"/>
        <v>75261.521063047796</v>
      </c>
      <c r="CP34" s="353">
        <f t="shared" si="56"/>
        <v>75261.521063047796</v>
      </c>
      <c r="CQ34" s="353">
        <f t="shared" si="56"/>
        <v>198188.6721326925</v>
      </c>
      <c r="CR34" s="353">
        <f t="shared" si="56"/>
        <v>24879032.70741877</v>
      </c>
      <c r="CS34" s="353">
        <f t="shared" si="56"/>
        <v>12861613.324249664</v>
      </c>
      <c r="CT34" s="353">
        <f t="shared" si="56"/>
        <v>31400461.961255383</v>
      </c>
      <c r="CU34" s="353">
        <f t="shared" si="56"/>
        <v>37892275.594878532</v>
      </c>
      <c r="CV34" s="353">
        <f t="shared" si="56"/>
        <v>23102779.783560488</v>
      </c>
      <c r="CW34" s="353">
        <f t="shared" si="56"/>
        <v>31386656.422405798</v>
      </c>
      <c r="CX34" s="353">
        <f t="shared" si="56"/>
        <v>4372287.0739735533</v>
      </c>
      <c r="CY34" s="353">
        <f t="shared" si="56"/>
        <v>2423673.8866322935</v>
      </c>
      <c r="CZ34" s="353">
        <f t="shared" si="56"/>
        <v>5681282.4741315721</v>
      </c>
      <c r="DA34" s="353">
        <f t="shared" si="56"/>
        <v>6826896.6447709519</v>
      </c>
      <c r="DB34" s="353">
        <f t="shared" si="56"/>
        <v>3951635.359728667</v>
      </c>
      <c r="DC34" s="353">
        <f t="shared" si="56"/>
        <v>5208797.1714280136</v>
      </c>
      <c r="DD34" s="353">
        <f t="shared" si="56"/>
        <v>2067711.6264694736</v>
      </c>
      <c r="DE34" s="353">
        <f t="shared" si="56"/>
        <v>1351552.8766069096</v>
      </c>
      <c r="DF34" s="353">
        <f t="shared" si="56"/>
        <v>3598629.6776277213</v>
      </c>
      <c r="DG34" s="353">
        <f t="shared" si="56"/>
        <v>36754.311563471871</v>
      </c>
      <c r="DH34" s="353">
        <f t="shared" si="56"/>
        <v>36754.311563471871</v>
      </c>
      <c r="DI34" s="353">
        <f t="shared" si="56"/>
        <v>96786.35378380926</v>
      </c>
    </row>
    <row r="35" spans="1:113" s="356" customFormat="1" ht="14" x14ac:dyDescent="0.3">
      <c r="AE35" s="396"/>
      <c r="AG35" s="397"/>
      <c r="BM35" s="4"/>
      <c r="BN35" s="4"/>
      <c r="BO35" s="4"/>
      <c r="BP35" s="4"/>
      <c r="BQ35" s="4"/>
      <c r="BR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row>
    <row r="36" spans="1:113" s="356" customFormat="1" ht="14" x14ac:dyDescent="0.3">
      <c r="AE36" s="396"/>
      <c r="AG36" s="397" t="s">
        <v>433</v>
      </c>
      <c r="AH36" s="355">
        <f>SUM(AH3:AH14)*0.2</f>
        <v>214632</v>
      </c>
      <c r="AI36" s="355">
        <f t="shared" ref="AI36:BJ36" si="57">SUM(AI3:AI14)*0.2</f>
        <v>900738.32120980101</v>
      </c>
      <c r="AJ36" s="355">
        <f t="shared" si="57"/>
        <v>264936.375</v>
      </c>
      <c r="AK36" s="355">
        <f t="shared" si="57"/>
        <v>200003.41873246024</v>
      </c>
      <c r="AL36" s="355">
        <f t="shared" si="57"/>
        <v>329869.33126753982</v>
      </c>
      <c r="AM36" s="355">
        <f t="shared" si="57"/>
        <v>804870</v>
      </c>
      <c r="AN36" s="355">
        <f t="shared" si="57"/>
        <v>134145</v>
      </c>
      <c r="AO36" s="355">
        <f t="shared" si="57"/>
        <v>158505.20833333334</v>
      </c>
      <c r="AP36" s="355">
        <f t="shared" si="57"/>
        <v>0</v>
      </c>
      <c r="AQ36" s="355">
        <f t="shared" si="57"/>
        <v>0</v>
      </c>
      <c r="AR36" s="355">
        <f t="shared" si="57"/>
        <v>0</v>
      </c>
      <c r="AS36" s="355">
        <f t="shared" si="57"/>
        <v>1632.105633802817</v>
      </c>
      <c r="AT36" s="355">
        <f t="shared" si="57"/>
        <v>1586.7693661971832</v>
      </c>
      <c r="AU36" s="355">
        <f t="shared" si="57"/>
        <v>10024</v>
      </c>
      <c r="AV36" s="355">
        <f t="shared" si="57"/>
        <v>10024</v>
      </c>
      <c r="AW36" s="355">
        <f t="shared" si="57"/>
        <v>6587.2000000000007</v>
      </c>
      <c r="AX36" s="355">
        <f t="shared" si="57"/>
        <v>0</v>
      </c>
      <c r="AY36" s="355">
        <f t="shared" si="57"/>
        <v>4582.4000000000005</v>
      </c>
      <c r="AZ36" s="355">
        <f t="shared" si="57"/>
        <v>4582.4000000000005</v>
      </c>
      <c r="BA36" s="355">
        <f t="shared" si="57"/>
        <v>0</v>
      </c>
      <c r="BB36" s="355">
        <f t="shared" si="57"/>
        <v>3723.2000000000003</v>
      </c>
      <c r="BC36" s="355">
        <f t="shared" si="57"/>
        <v>4157.2537901990818</v>
      </c>
      <c r="BD36" s="355">
        <f t="shared" si="57"/>
        <v>0</v>
      </c>
      <c r="BE36" s="355">
        <f t="shared" si="57"/>
        <v>2438.541666666667</v>
      </c>
      <c r="BF36" s="355">
        <f t="shared" si="57"/>
        <v>2864</v>
      </c>
      <c r="BG36" s="355">
        <f t="shared" si="57"/>
        <v>0</v>
      </c>
      <c r="BH36" s="355">
        <f t="shared" si="57"/>
        <v>2864</v>
      </c>
      <c r="BI36" s="355">
        <f t="shared" si="57"/>
        <v>0</v>
      </c>
      <c r="BJ36" s="355">
        <f t="shared" si="57"/>
        <v>0</v>
      </c>
      <c r="BM36" s="352" t="s">
        <v>433</v>
      </c>
      <c r="BN36" s="355">
        <f t="shared" ref="BN36:DI36" si="58">SUM(BN3:BN14)*0.2</f>
        <v>0</v>
      </c>
      <c r="BO36" s="355">
        <f t="shared" si="58"/>
        <v>71544</v>
      </c>
      <c r="BP36" s="355">
        <f t="shared" si="58"/>
        <v>143088</v>
      </c>
      <c r="BQ36" s="355">
        <f t="shared" si="58"/>
        <v>0</v>
      </c>
      <c r="BR36" s="355">
        <f t="shared" si="58"/>
        <v>0</v>
      </c>
      <c r="BS36" s="355">
        <f t="shared" si="58"/>
        <v>0</v>
      </c>
      <c r="BT36" s="355">
        <f t="shared" si="58"/>
        <v>261214.11315084225</v>
      </c>
      <c r="BU36" s="355">
        <f t="shared" si="58"/>
        <v>639524.20805895876</v>
      </c>
      <c r="BV36" s="355">
        <f t="shared" si="58"/>
        <v>0</v>
      </c>
      <c r="BW36" s="355">
        <f t="shared" si="58"/>
        <v>0</v>
      </c>
      <c r="BX36" s="355">
        <f t="shared" si="58"/>
        <v>0</v>
      </c>
      <c r="BY36" s="355">
        <f t="shared" si="58"/>
        <v>0</v>
      </c>
      <c r="BZ36" s="355">
        <f t="shared" si="58"/>
        <v>12616.017857142857</v>
      </c>
      <c r="CA36" s="355">
        <f t="shared" si="58"/>
        <v>126160.17857142858</v>
      </c>
      <c r="CB36" s="355">
        <f t="shared" si="58"/>
        <v>126160.17857142858</v>
      </c>
      <c r="CC36" s="355">
        <f t="shared" si="58"/>
        <v>0</v>
      </c>
      <c r="CD36" s="355">
        <f t="shared" si="58"/>
        <v>0</v>
      </c>
      <c r="CE36" s="355">
        <f t="shared" si="58"/>
        <v>0</v>
      </c>
      <c r="CF36" s="355">
        <f t="shared" si="58"/>
        <v>9523.9723205933442</v>
      </c>
      <c r="CG36" s="355">
        <f t="shared" si="58"/>
        <v>95239.723205933449</v>
      </c>
      <c r="CH36" s="355">
        <f t="shared" si="58"/>
        <v>95239.723205933449</v>
      </c>
      <c r="CI36" s="355">
        <f t="shared" si="58"/>
        <v>0</v>
      </c>
      <c r="CJ36" s="355">
        <f t="shared" si="58"/>
        <v>0</v>
      </c>
      <c r="CK36" s="355">
        <f t="shared" si="58"/>
        <v>0</v>
      </c>
      <c r="CL36" s="355">
        <f t="shared" si="58"/>
        <v>15708.06339369237</v>
      </c>
      <c r="CM36" s="355">
        <f t="shared" si="58"/>
        <v>157080.6339369237</v>
      </c>
      <c r="CN36" s="355">
        <f t="shared" si="58"/>
        <v>157080.6339369237</v>
      </c>
      <c r="CO36" s="355">
        <f t="shared" si="58"/>
        <v>0</v>
      </c>
      <c r="CP36" s="355">
        <f t="shared" si="58"/>
        <v>0</v>
      </c>
      <c r="CQ36" s="355">
        <f t="shared" si="58"/>
        <v>0</v>
      </c>
      <c r="CR36" s="355">
        <f t="shared" si="58"/>
        <v>20547.857647058827</v>
      </c>
      <c r="CS36" s="355">
        <f t="shared" si="58"/>
        <v>78877.260000000009</v>
      </c>
      <c r="CT36" s="355">
        <f t="shared" si="58"/>
        <v>94690.588235294126</v>
      </c>
      <c r="CU36" s="355">
        <f t="shared" si="58"/>
        <v>94690.588235294126</v>
      </c>
      <c r="CV36" s="355">
        <f t="shared" si="58"/>
        <v>142035.88235294117</v>
      </c>
      <c r="CW36" s="355">
        <f t="shared" si="58"/>
        <v>374027.82352941181</v>
      </c>
      <c r="CX36" s="355">
        <f t="shared" si="58"/>
        <v>0</v>
      </c>
      <c r="CY36" s="355">
        <f t="shared" si="58"/>
        <v>44715</v>
      </c>
      <c r="CZ36" s="355">
        <f t="shared" si="58"/>
        <v>44715</v>
      </c>
      <c r="DA36" s="355">
        <f t="shared" si="58"/>
        <v>44715</v>
      </c>
      <c r="DB36" s="355">
        <f t="shared" si="58"/>
        <v>0</v>
      </c>
      <c r="DC36" s="355">
        <f t="shared" si="58"/>
        <v>0</v>
      </c>
      <c r="DD36" s="355">
        <f t="shared" si="58"/>
        <v>158505.20833333334</v>
      </c>
      <c r="DE36" s="355">
        <f t="shared" si="58"/>
        <v>0</v>
      </c>
      <c r="DF36" s="355">
        <f t="shared" si="58"/>
        <v>0</v>
      </c>
      <c r="DG36" s="355">
        <f t="shared" si="58"/>
        <v>0</v>
      </c>
      <c r="DH36" s="355">
        <f t="shared" si="58"/>
        <v>0</v>
      </c>
      <c r="DI36" s="355">
        <f t="shared" si="58"/>
        <v>0</v>
      </c>
    </row>
    <row r="37" spans="1:113" s="356" customFormat="1" ht="14" x14ac:dyDescent="0.3">
      <c r="AE37" s="396"/>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row>
    <row r="38" spans="1:113" s="356" customFormat="1" thickBot="1" x14ac:dyDescent="0.35">
      <c r="AE38" s="396"/>
      <c r="AG38" s="397" t="s">
        <v>434</v>
      </c>
      <c r="AH38" s="152">
        <f t="shared" ref="AH38:BJ38" si="59">SUM(AH34:AH36)</f>
        <v>9717718.4751325287</v>
      </c>
      <c r="AI38" s="152">
        <f t="shared" si="59"/>
        <v>34628175.041051574</v>
      </c>
      <c r="AJ38" s="152">
        <f t="shared" si="59"/>
        <v>13391515.315185539</v>
      </c>
      <c r="AK38" s="152">
        <f t="shared" si="59"/>
        <v>10270621.39963736</v>
      </c>
      <c r="AL38" s="152">
        <f t="shared" si="59"/>
        <v>16939525.505473766</v>
      </c>
      <c r="AM38" s="152">
        <f t="shared" si="59"/>
        <v>162327689.79376861</v>
      </c>
      <c r="AN38" s="152">
        <f t="shared" si="59"/>
        <v>28598717.610665049</v>
      </c>
      <c r="AO38" s="152">
        <f t="shared" si="59"/>
        <v>7346694.36594819</v>
      </c>
      <c r="AP38" s="152">
        <f t="shared" si="59"/>
        <v>688763.72017903591</v>
      </c>
      <c r="AQ38" s="152">
        <f t="shared" si="59"/>
        <v>678924.23846219247</v>
      </c>
      <c r="AR38" s="152">
        <f t="shared" si="59"/>
        <v>413258.23210742156</v>
      </c>
      <c r="AS38" s="152">
        <f t="shared" si="59"/>
        <v>170405.00054917825</v>
      </c>
      <c r="AT38" s="152">
        <f t="shared" si="59"/>
        <v>165671.52831170105</v>
      </c>
      <c r="AU38" s="152">
        <f t="shared" si="59"/>
        <v>216294.91211451797</v>
      </c>
      <c r="AV38" s="152">
        <f t="shared" si="59"/>
        <v>216294.91211451797</v>
      </c>
      <c r="AW38" s="152">
        <f t="shared" si="59"/>
        <v>142136.65653239752</v>
      </c>
      <c r="AX38" s="152">
        <f t="shared" si="59"/>
        <v>89229.092636867412</v>
      </c>
      <c r="AY38" s="152">
        <f t="shared" si="59"/>
        <v>37446.336669493925</v>
      </c>
      <c r="AZ38" s="152">
        <f t="shared" si="59"/>
        <v>37446.336669493925</v>
      </c>
      <c r="BA38" s="152">
        <f t="shared" si="59"/>
        <v>9329.9406276505506</v>
      </c>
      <c r="BB38" s="152">
        <f t="shared" si="59"/>
        <v>30425.148543963813</v>
      </c>
      <c r="BC38" s="152">
        <f t="shared" si="59"/>
        <v>32407.475243314926</v>
      </c>
      <c r="BD38" s="152">
        <f t="shared" si="59"/>
        <v>6219.9604184337004</v>
      </c>
      <c r="BE38" s="152">
        <f t="shared" si="59"/>
        <v>20851.210418433704</v>
      </c>
      <c r="BF38" s="152">
        <f t="shared" si="59"/>
        <v>23403.9604184337</v>
      </c>
      <c r="BG38" s="152">
        <f t="shared" si="59"/>
        <v>6219.9604184337004</v>
      </c>
      <c r="BH38" s="152">
        <f t="shared" si="59"/>
        <v>23403.9604184337</v>
      </c>
      <c r="BI38" s="152">
        <f t="shared" si="59"/>
        <v>6219.9604184337004</v>
      </c>
      <c r="BJ38" s="152">
        <f t="shared" si="59"/>
        <v>6638676.2858699989</v>
      </c>
      <c r="BM38" s="352" t="s">
        <v>434</v>
      </c>
      <c r="BN38" s="110">
        <f>SUM(BN34:BN36)</f>
        <v>31571.011214777121</v>
      </c>
      <c r="BO38" s="110">
        <f t="shared" ref="BO38:DI38" si="60">SUM(BO34:BO36)</f>
        <v>4478860.2471425887</v>
      </c>
      <c r="BP38" s="110">
        <f t="shared" si="60"/>
        <v>5010793.0126473708</v>
      </c>
      <c r="BQ38" s="110">
        <f t="shared" si="60"/>
        <v>42408.821034775232</v>
      </c>
      <c r="BR38" s="110">
        <f t="shared" si="60"/>
        <v>42408.821034775232</v>
      </c>
      <c r="BS38" s="110">
        <f>SUM(BS34:BS36)</f>
        <v>111676.56205824144</v>
      </c>
      <c r="BT38" s="110">
        <f t="shared" si="60"/>
        <v>1676730.8511162808</v>
      </c>
      <c r="BU38" s="110">
        <f t="shared" si="60"/>
        <v>17875745.571781389</v>
      </c>
      <c r="BV38" s="110">
        <f t="shared" si="60"/>
        <v>14394518.710510885</v>
      </c>
      <c r="BW38" s="110">
        <f t="shared" si="60"/>
        <v>147017.24625388748</v>
      </c>
      <c r="BX38" s="110">
        <f t="shared" si="60"/>
        <v>147017.24625388748</v>
      </c>
      <c r="BY38" s="110">
        <f t="shared" si="60"/>
        <v>387145.41513523704</v>
      </c>
      <c r="BZ38" s="110">
        <f t="shared" si="60"/>
        <v>119895.52284354511</v>
      </c>
      <c r="CA38" s="110">
        <f t="shared" si="60"/>
        <v>12073324.256678196</v>
      </c>
      <c r="CB38" s="110">
        <f t="shared" si="60"/>
        <v>923203.6498848903</v>
      </c>
      <c r="CC38" s="110">
        <f t="shared" si="60"/>
        <v>59372.349448685338</v>
      </c>
      <c r="CD38" s="110">
        <f t="shared" si="60"/>
        <v>59372.349448685338</v>
      </c>
      <c r="CE38" s="110">
        <f t="shared" si="60"/>
        <v>156347.18688153804</v>
      </c>
      <c r="CF38" s="110">
        <f t="shared" si="60"/>
        <v>91114.24199066023</v>
      </c>
      <c r="CG38" s="110">
        <f t="shared" si="60"/>
        <v>9268871.7587560229</v>
      </c>
      <c r="CH38" s="110">
        <f t="shared" si="60"/>
        <v>699207.63524917152</v>
      </c>
      <c r="CI38" s="110">
        <f t="shared" si="60"/>
        <v>45631.891433418154</v>
      </c>
      <c r="CJ38" s="110">
        <f t="shared" si="60"/>
        <v>45631.891433418154</v>
      </c>
      <c r="CK38" s="110">
        <f t="shared" si="60"/>
        <v>120163.9807746678</v>
      </c>
      <c r="CL38" s="110">
        <f t="shared" si="60"/>
        <v>150276.40159797869</v>
      </c>
      <c r="CM38" s="110">
        <f t="shared" si="60"/>
        <v>15287321.327018922</v>
      </c>
      <c r="CN38" s="110">
        <f t="shared" si="60"/>
        <v>1153216.062598076</v>
      </c>
      <c r="CO38" s="110">
        <f t="shared" si="60"/>
        <v>75261.521063047796</v>
      </c>
      <c r="CP38" s="110">
        <f t="shared" si="60"/>
        <v>75261.521063047796</v>
      </c>
      <c r="CQ38" s="110">
        <f t="shared" si="60"/>
        <v>198188.6721326925</v>
      </c>
      <c r="CR38" s="110">
        <f t="shared" si="60"/>
        <v>24899580.565065827</v>
      </c>
      <c r="CS38" s="110">
        <f t="shared" si="60"/>
        <v>12940490.584249664</v>
      </c>
      <c r="CT38" s="110">
        <f t="shared" si="60"/>
        <v>31495152.549490675</v>
      </c>
      <c r="CU38" s="110">
        <f t="shared" si="60"/>
        <v>37986966.183113828</v>
      </c>
      <c r="CV38" s="110">
        <f t="shared" si="60"/>
        <v>23244815.665913429</v>
      </c>
      <c r="CW38" s="110">
        <f t="shared" si="60"/>
        <v>31760684.245935209</v>
      </c>
      <c r="CX38" s="110">
        <f t="shared" si="60"/>
        <v>4372287.0739735533</v>
      </c>
      <c r="CY38" s="110">
        <f t="shared" si="60"/>
        <v>2468388.8866322935</v>
      </c>
      <c r="CZ38" s="110">
        <f t="shared" si="60"/>
        <v>5725997.4741315721</v>
      </c>
      <c r="DA38" s="110">
        <f t="shared" si="60"/>
        <v>6871611.6447709519</v>
      </c>
      <c r="DB38" s="110">
        <f t="shared" si="60"/>
        <v>3951635.359728667</v>
      </c>
      <c r="DC38" s="110">
        <f t="shared" si="60"/>
        <v>5208797.1714280136</v>
      </c>
      <c r="DD38" s="110">
        <f t="shared" si="60"/>
        <v>2226216.8348028068</v>
      </c>
      <c r="DE38" s="110">
        <f t="shared" si="60"/>
        <v>1351552.8766069096</v>
      </c>
      <c r="DF38" s="110">
        <f t="shared" si="60"/>
        <v>3598629.6776277213</v>
      </c>
      <c r="DG38" s="110">
        <f t="shared" si="60"/>
        <v>36754.311563471871</v>
      </c>
      <c r="DH38" s="110">
        <f t="shared" si="60"/>
        <v>36754.311563471871</v>
      </c>
      <c r="DI38" s="110">
        <f t="shared" si="60"/>
        <v>96786.35378380926</v>
      </c>
    </row>
    <row r="39" spans="1:113" s="356" customFormat="1" thickTop="1" x14ac:dyDescent="0.3">
      <c r="AE39" s="396"/>
      <c r="AG39" s="397"/>
      <c r="BM39" s="348"/>
      <c r="BN39" s="348"/>
      <c r="BO39" s="348"/>
      <c r="BP39" s="348"/>
      <c r="BQ39" s="348"/>
      <c r="BR39" s="348"/>
      <c r="BS39" s="351">
        <f>SUM(BN38:BS38)</f>
        <v>9717718.4751325306</v>
      </c>
      <c r="BT39" s="348"/>
      <c r="BU39" s="348"/>
      <c r="BV39" s="348"/>
      <c r="BW39" s="348"/>
      <c r="BX39" s="348"/>
      <c r="BY39" s="351">
        <f>SUM(BT38:BY38)</f>
        <v>34628175.041051559</v>
      </c>
      <c r="BZ39" s="348"/>
      <c r="CA39" s="348"/>
      <c r="CB39" s="348"/>
      <c r="CC39" s="348"/>
      <c r="CD39" s="348"/>
      <c r="CE39" s="351">
        <f>SUM(BZ38:CE38)</f>
        <v>13391515.315185539</v>
      </c>
      <c r="CF39" s="348"/>
      <c r="CG39" s="348"/>
      <c r="CH39" s="348"/>
      <c r="CI39" s="348"/>
      <c r="CJ39" s="348"/>
      <c r="CK39" s="351">
        <f>SUM(CF38:CK38)</f>
        <v>10270621.399637356</v>
      </c>
      <c r="CL39" s="348"/>
      <c r="CM39" s="348"/>
      <c r="CN39" s="348"/>
      <c r="CO39" s="348"/>
      <c r="CP39" s="348"/>
      <c r="CQ39" s="351">
        <f>SUM(CL38:CQ38)</f>
        <v>16939525.505473766</v>
      </c>
      <c r="CR39" s="348"/>
      <c r="CS39" s="348"/>
      <c r="CT39" s="348"/>
      <c r="CU39" s="348"/>
      <c r="CV39" s="348"/>
      <c r="CW39" s="351">
        <f>SUM(CR38:CW38)</f>
        <v>162327689.79376864</v>
      </c>
      <c r="CX39" s="348"/>
      <c r="CY39" s="348"/>
      <c r="CZ39" s="348"/>
      <c r="DA39" s="348"/>
      <c r="DB39" s="348"/>
      <c r="DC39" s="351">
        <f>SUM(CX38:DC38)</f>
        <v>28598717.610665053</v>
      </c>
      <c r="DD39" s="348"/>
      <c r="DE39" s="348"/>
      <c r="DF39" s="348"/>
      <c r="DG39" s="348"/>
      <c r="DH39" s="348"/>
      <c r="DI39" s="351">
        <f>SUM(DD38:DI38)</f>
        <v>7346694.3659481918</v>
      </c>
    </row>
    <row r="40" spans="1:113" s="356" customFormat="1" ht="14" x14ac:dyDescent="0.3">
      <c r="AE40" s="396"/>
      <c r="AG40" s="58" t="s">
        <v>1010</v>
      </c>
      <c r="BM40" s="348"/>
      <c r="BN40" s="348"/>
      <c r="BO40" s="348"/>
      <c r="BP40" s="348"/>
      <c r="BQ40" s="348"/>
      <c r="BR40" s="348"/>
      <c r="BS40" s="350" t="b">
        <f>BS39=AH38</f>
        <v>1</v>
      </c>
      <c r="BT40" s="348"/>
      <c r="BU40" s="348"/>
      <c r="BV40" s="348"/>
      <c r="BW40" s="348"/>
      <c r="BX40" s="348"/>
      <c r="BY40" s="350" t="b">
        <f>BY39=AI38</f>
        <v>1</v>
      </c>
      <c r="BZ40" s="348"/>
      <c r="CA40" s="348"/>
      <c r="CB40" s="348"/>
      <c r="CC40" s="348"/>
      <c r="CD40" s="348"/>
      <c r="CE40" s="350" t="b">
        <f>CE39=AJ38</f>
        <v>1</v>
      </c>
      <c r="CF40" s="348"/>
      <c r="CG40" s="348"/>
      <c r="CH40" s="348"/>
      <c r="CI40" s="348"/>
      <c r="CJ40" s="348"/>
      <c r="CK40" s="350" t="b">
        <f>CK39=AK38</f>
        <v>1</v>
      </c>
      <c r="CL40" s="348"/>
      <c r="CM40" s="348"/>
      <c r="CN40" s="348"/>
      <c r="CO40" s="348"/>
      <c r="CP40" s="348"/>
      <c r="CQ40" s="350" t="b">
        <f>CQ39=AL38</f>
        <v>1</v>
      </c>
      <c r="CR40" s="348"/>
      <c r="CS40" s="348"/>
      <c r="CT40" s="348"/>
      <c r="CU40" s="348"/>
      <c r="CV40" s="348"/>
      <c r="CW40" s="350" t="b">
        <f>CW39=AM38</f>
        <v>1</v>
      </c>
      <c r="CX40" s="348"/>
      <c r="CY40" s="348"/>
      <c r="CZ40" s="348"/>
      <c r="DA40" s="348"/>
      <c r="DB40" s="348"/>
      <c r="DC40" s="350" t="b">
        <f>DC39=AN38</f>
        <v>0</v>
      </c>
      <c r="DD40" s="348"/>
      <c r="DE40" s="348"/>
      <c r="DF40" s="348"/>
      <c r="DG40" s="348"/>
      <c r="DH40" s="348"/>
      <c r="DI40" s="350" t="b">
        <f>DI39=AO38</f>
        <v>1</v>
      </c>
    </row>
    <row r="41" spans="1:113" s="356" customFormat="1" x14ac:dyDescent="0.35">
      <c r="AE41" s="396"/>
      <c r="AH41" s="278">
        <f>AH36/AH34</f>
        <v>2.2585504252922918E-2</v>
      </c>
      <c r="AI41" s="278">
        <f t="shared" ref="AI41:AN41" si="61">AI36/AI34</f>
        <v>2.6706397189084304E-2</v>
      </c>
      <c r="AJ41" s="278">
        <f t="shared" si="61"/>
        <v>2.0183200528275283E-2</v>
      </c>
      <c r="AK41" s="278">
        <f t="shared" si="61"/>
        <v>1.986009390006559E-2</v>
      </c>
      <c r="AL41" s="278">
        <f t="shared" si="61"/>
        <v>1.986009390006559E-2</v>
      </c>
      <c r="AM41" s="278">
        <f t="shared" si="61"/>
        <v>4.9830110756341013E-3</v>
      </c>
      <c r="AN41" s="278">
        <f t="shared" si="61"/>
        <v>4.7127003041576958E-3</v>
      </c>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c r="CM41" s="289"/>
      <c r="CN41" s="289"/>
      <c r="CO41" s="289"/>
      <c r="CP41" s="289"/>
      <c r="CQ41" s="289"/>
      <c r="CR41" s="289"/>
      <c r="CS41" s="289"/>
      <c r="CT41" s="289"/>
      <c r="CU41" s="289"/>
      <c r="CV41" s="289"/>
      <c r="CW41" s="289"/>
      <c r="CX41" s="289"/>
      <c r="CY41" s="289"/>
      <c r="CZ41" s="289"/>
      <c r="DA41" s="289"/>
      <c r="DB41" s="289"/>
      <c r="DC41" s="289"/>
      <c r="DD41" s="289"/>
      <c r="DE41" s="289"/>
      <c r="DF41" s="289"/>
      <c r="DG41" s="289"/>
      <c r="DH41" s="289"/>
      <c r="DI41" s="289"/>
    </row>
    <row r="42" spans="1:113" s="356" customFormat="1" x14ac:dyDescent="0.35">
      <c r="AE42" s="396"/>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c r="CM42" s="289"/>
      <c r="CN42" s="289"/>
      <c r="CO42" s="289"/>
      <c r="CP42" s="289"/>
      <c r="CQ42" s="289"/>
      <c r="CR42" s="289"/>
      <c r="CS42" s="289"/>
      <c r="CT42" s="289"/>
      <c r="CU42" s="289"/>
      <c r="CV42" s="289"/>
      <c r="CW42" s="289"/>
      <c r="CX42" s="289"/>
      <c r="CY42" s="289"/>
      <c r="CZ42" s="289"/>
      <c r="DA42" s="289"/>
      <c r="DB42" s="289"/>
      <c r="DC42" s="289"/>
      <c r="DD42" s="289"/>
      <c r="DE42" s="289"/>
      <c r="DF42" s="289"/>
      <c r="DG42" s="289"/>
      <c r="DH42" s="289"/>
      <c r="DI42" s="289"/>
    </row>
    <row r="43" spans="1:113" s="356" customFormat="1" x14ac:dyDescent="0.35">
      <c r="AE43" s="396"/>
      <c r="BM43" s="289"/>
      <c r="BN43" s="289"/>
      <c r="BO43" s="289"/>
      <c r="BP43" s="289"/>
      <c r="BQ43" s="289"/>
      <c r="BR43" s="289"/>
      <c r="BS43" s="351"/>
      <c r="BT43" s="289"/>
      <c r="BU43" s="289"/>
      <c r="BV43" s="289"/>
      <c r="BW43" s="289"/>
      <c r="BX43" s="289"/>
      <c r="BY43" s="351"/>
      <c r="BZ43" s="289"/>
      <c r="CA43" s="289"/>
      <c r="CB43" s="289"/>
      <c r="CC43" s="289"/>
      <c r="CD43" s="289"/>
      <c r="CE43" s="351"/>
      <c r="CF43" s="289"/>
      <c r="CG43" s="289"/>
      <c r="CH43" s="289"/>
      <c r="CI43" s="289"/>
      <c r="CJ43" s="289"/>
      <c r="CK43" s="351"/>
      <c r="CL43" s="289"/>
      <c r="CM43" s="289"/>
      <c r="CN43" s="289"/>
      <c r="CO43" s="289"/>
      <c r="CP43" s="289"/>
      <c r="CQ43" s="351"/>
      <c r="CR43" s="289"/>
      <c r="CS43" s="289"/>
      <c r="CT43" s="289"/>
      <c r="CU43" s="289"/>
      <c r="CV43" s="289"/>
      <c r="CW43" s="351"/>
      <c r="CX43" s="289"/>
      <c r="CY43" s="289"/>
      <c r="CZ43" s="289"/>
      <c r="DA43" s="289"/>
      <c r="DB43" s="289"/>
      <c r="DC43" s="351"/>
      <c r="DD43" s="289"/>
      <c r="DE43" s="289"/>
      <c r="DF43" s="289"/>
      <c r="DG43" s="289"/>
      <c r="DH43" s="289"/>
      <c r="DI43" s="351"/>
    </row>
    <row r="44" spans="1:113" s="356" customFormat="1" x14ac:dyDescent="0.35">
      <c r="AE44" s="396"/>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c r="CM44" s="289"/>
      <c r="CN44" s="289"/>
      <c r="CO44" s="289"/>
      <c r="CP44" s="289"/>
      <c r="CQ44" s="289"/>
      <c r="CR44" s="289"/>
      <c r="CS44" s="289"/>
      <c r="CT44" s="289"/>
      <c r="CU44" s="289"/>
      <c r="CV44" s="289"/>
      <c r="CW44" s="289"/>
      <c r="CX44" s="289"/>
      <c r="CY44" s="289"/>
      <c r="CZ44" s="289"/>
      <c r="DA44" s="289"/>
      <c r="DB44" s="289"/>
      <c r="DC44" s="289"/>
      <c r="DD44" s="289"/>
      <c r="DE44" s="289"/>
      <c r="DF44" s="289"/>
      <c r="DG44" s="289"/>
      <c r="DH44" s="289"/>
      <c r="DI44" s="289"/>
    </row>
    <row r="45" spans="1:113" s="356" customFormat="1" x14ac:dyDescent="0.35">
      <c r="AE45" s="396"/>
      <c r="BM45" s="289"/>
      <c r="BN45" s="289"/>
      <c r="BO45" s="289"/>
      <c r="BP45" s="289"/>
      <c r="BQ45" s="289"/>
      <c r="BR45" s="289"/>
      <c r="BS45" s="289"/>
      <c r="BT45" s="289"/>
      <c r="BU45" s="289"/>
      <c r="BV45" s="289"/>
      <c r="BW45" s="289"/>
      <c r="BX45" s="289"/>
      <c r="BY45" s="289"/>
      <c r="BZ45" s="289"/>
      <c r="CA45" s="289"/>
      <c r="CB45" s="289"/>
      <c r="CC45" s="289"/>
      <c r="CD45" s="289"/>
      <c r="CE45" s="289"/>
      <c r="CF45" s="289"/>
      <c r="CG45" s="289"/>
      <c r="CH45" s="289"/>
      <c r="CI45" s="289"/>
      <c r="CJ45" s="289"/>
      <c r="CK45" s="289"/>
      <c r="CL45" s="289"/>
      <c r="CM45" s="289"/>
      <c r="CN45" s="289"/>
      <c r="CO45" s="289"/>
      <c r="CP45" s="289"/>
      <c r="CQ45" s="289"/>
      <c r="CR45" s="289"/>
      <c r="CS45" s="289"/>
      <c r="CT45" s="289"/>
      <c r="CU45" s="289"/>
      <c r="CV45" s="289"/>
      <c r="CW45" s="289"/>
      <c r="CX45" s="289"/>
      <c r="CY45" s="289"/>
      <c r="CZ45" s="289"/>
      <c r="DA45" s="289"/>
      <c r="DB45" s="289"/>
      <c r="DC45" s="289"/>
      <c r="DD45" s="289"/>
      <c r="DE45" s="289"/>
      <c r="DF45" s="289"/>
      <c r="DG45" s="289"/>
      <c r="DH45" s="289"/>
      <c r="DI45" s="289"/>
    </row>
    <row r="46" spans="1:113" s="356" customFormat="1" x14ac:dyDescent="0.35">
      <c r="AE46" s="396"/>
      <c r="BM46" s="289"/>
      <c r="BN46" s="289"/>
      <c r="BO46" s="289"/>
      <c r="BP46" s="289"/>
      <c r="BQ46" s="289"/>
      <c r="BR46" s="289"/>
      <c r="BS46" s="289"/>
      <c r="BT46" s="289"/>
      <c r="BU46" s="289"/>
      <c r="BV46" s="289"/>
      <c r="BW46" s="289"/>
      <c r="BX46" s="289"/>
      <c r="BY46" s="289"/>
      <c r="BZ46" s="289"/>
      <c r="CA46" s="289"/>
      <c r="CB46" s="289"/>
      <c r="CC46" s="289"/>
      <c r="CD46" s="289"/>
      <c r="CE46" s="289"/>
      <c r="CF46" s="289"/>
      <c r="CG46" s="289"/>
      <c r="CH46" s="289"/>
      <c r="CI46" s="289"/>
      <c r="CJ46" s="289"/>
      <c r="CK46" s="289"/>
      <c r="CL46" s="289"/>
      <c r="CM46" s="289"/>
      <c r="CN46" s="289"/>
      <c r="CO46" s="289"/>
      <c r="CP46" s="289"/>
      <c r="CQ46" s="289"/>
      <c r="CR46" s="289"/>
      <c r="CS46" s="289"/>
      <c r="CT46" s="289"/>
      <c r="CU46" s="289"/>
      <c r="CV46" s="289"/>
      <c r="CW46" s="289"/>
      <c r="CX46" s="289"/>
      <c r="CY46" s="289"/>
      <c r="CZ46" s="289"/>
      <c r="DA46" s="289"/>
      <c r="DB46" s="289"/>
      <c r="DC46" s="289"/>
      <c r="DD46" s="289"/>
      <c r="DE46" s="289"/>
      <c r="DF46" s="289"/>
      <c r="DG46" s="289"/>
      <c r="DH46" s="289"/>
      <c r="DI46" s="289"/>
    </row>
    <row r="47" spans="1:113" s="356" customFormat="1" x14ac:dyDescent="0.35">
      <c r="AE47" s="396"/>
      <c r="BM47" s="289"/>
      <c r="BN47" s="289"/>
      <c r="BO47" s="289"/>
      <c r="BP47" s="289"/>
      <c r="BQ47" s="289"/>
      <c r="BR47" s="289"/>
      <c r="BS47" s="289"/>
      <c r="BT47" s="289"/>
      <c r="BU47" s="289"/>
      <c r="BV47" s="289"/>
      <c r="BW47" s="289"/>
      <c r="BX47" s="289"/>
      <c r="BY47" s="289"/>
      <c r="BZ47" s="289"/>
      <c r="CA47" s="289"/>
      <c r="CB47" s="289"/>
      <c r="CC47" s="289"/>
      <c r="CD47" s="289"/>
      <c r="CE47" s="289"/>
      <c r="CF47" s="289"/>
      <c r="CG47" s="289"/>
      <c r="CH47" s="289"/>
      <c r="CI47" s="289"/>
      <c r="CJ47" s="289"/>
      <c r="CK47" s="289"/>
      <c r="CL47" s="289"/>
      <c r="CM47" s="289"/>
      <c r="CN47" s="289"/>
      <c r="CO47" s="289"/>
      <c r="CP47" s="289"/>
      <c r="CQ47" s="289"/>
      <c r="CR47" s="289"/>
      <c r="CS47" s="289"/>
      <c r="CT47" s="289"/>
      <c r="CU47" s="289"/>
      <c r="CV47" s="289"/>
      <c r="CW47" s="289"/>
      <c r="CX47" s="289"/>
      <c r="CY47" s="289"/>
      <c r="CZ47" s="289"/>
      <c r="DA47" s="289"/>
      <c r="DB47" s="289"/>
      <c r="DC47" s="289"/>
      <c r="DD47" s="289"/>
      <c r="DE47" s="289"/>
      <c r="DF47" s="289"/>
      <c r="DG47" s="289"/>
      <c r="DH47" s="289"/>
      <c r="DI47" s="289"/>
    </row>
    <row r="48" spans="1:113" s="356" customFormat="1" x14ac:dyDescent="0.35">
      <c r="AE48" s="396"/>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c r="CZ48" s="289"/>
      <c r="DA48" s="289"/>
      <c r="DB48" s="289"/>
      <c r="DC48" s="289"/>
      <c r="DD48" s="289"/>
      <c r="DE48" s="289"/>
      <c r="DF48" s="289"/>
      <c r="DG48" s="289"/>
      <c r="DH48" s="289"/>
      <c r="DI48" s="289"/>
    </row>
  </sheetData>
  <mergeCells count="8">
    <mergeCell ref="CX1:DC1"/>
    <mergeCell ref="DD1:DI1"/>
    <mergeCell ref="BN1:BS1"/>
    <mergeCell ref="BT1:BY1"/>
    <mergeCell ref="BZ1:CE1"/>
    <mergeCell ref="CF1:CK1"/>
    <mergeCell ref="CL1:CQ1"/>
    <mergeCell ref="CR1:CW1"/>
  </mergeCells>
  <conditionalFormatting sqref="D2:D16 D18:D32 D49:D1048576">
    <cfRule type="containsText" dxfId="538" priority="131" operator="containsText" text="Critical">
      <formula>NOT(ISERROR(SEARCH("Critical",D2)))</formula>
    </cfRule>
    <cfRule type="containsText" dxfId="537" priority="132" operator="containsText" text="Essential">
      <formula>NOT(ISERROR(SEARCH("Essential",D2)))</formula>
    </cfRule>
    <cfRule type="containsText" dxfId="536" priority="133" operator="containsText" text="Desirable">
      <formula>NOT(ISERROR(SEARCH("Desirable",D2)))</formula>
    </cfRule>
  </conditionalFormatting>
  <conditionalFormatting sqref="O22:S22">
    <cfRule type="containsText" dxfId="528" priority="63" operator="containsText" text="0-5 years">
      <formula>NOT(ISERROR(SEARCH("0-5 years",O22)))</formula>
    </cfRule>
    <cfRule type="containsText" dxfId="527" priority="57" operator="containsText" text="20+">
      <formula>NOT(ISERROR(SEARCH("20+",O22)))</formula>
    </cfRule>
    <cfRule type="containsText" dxfId="526" priority="58" operator="containsText" text="unknown">
      <formula>NOT(ISERROR(SEARCH("unknown",O22)))</formula>
    </cfRule>
    <cfRule type="containsText" dxfId="525" priority="59" operator="containsText" text="15-20 years">
      <formula>NOT(ISERROR(SEARCH("15-20 years",O22)))</formula>
    </cfRule>
    <cfRule type="containsText" dxfId="524" priority="60" operator="containsText" text="10-15 years">
      <formula>NOT(ISERROR(SEARCH("10-15 years",O22)))</formula>
    </cfRule>
    <cfRule type="containsText" dxfId="523" priority="61" operator="containsText" text="5-10 years">
      <formula>NOT(ISERROR(SEARCH("5-10 years",O22)))</formula>
    </cfRule>
    <cfRule type="containsText" dxfId="522" priority="62" operator="containsText" text="0-20 years">
      <formula>NOT(ISERROR(SEARCH("0-20 years",O22)))</formula>
    </cfRule>
  </conditionalFormatting>
  <conditionalFormatting sqref="O6:T6 AC6:AC7 P7:T7 O8:T14 AA8:AB14 AB17:AB18 O27 S27:T27 AC27:AC28 AA27:AA29">
    <cfRule type="containsText" dxfId="521" priority="130" operator="containsText" text="0-5 years">
      <formula>NOT(ISERROR(SEARCH("0-5 years",O6)))</formula>
    </cfRule>
    <cfRule type="containsText" dxfId="520" priority="129" operator="containsText" text="0-20 years">
      <formula>NOT(ISERROR(SEARCH("0-20 years",O6)))</formula>
    </cfRule>
    <cfRule type="containsText" dxfId="519" priority="128" operator="containsText" text="5-10 years">
      <formula>NOT(ISERROR(SEARCH("5-10 years",O6)))</formula>
    </cfRule>
    <cfRule type="containsText" dxfId="518" priority="127" operator="containsText" text="10-15 years">
      <formula>NOT(ISERROR(SEARCH("10-15 years",O6)))</formula>
    </cfRule>
    <cfRule type="containsText" dxfId="517" priority="126" operator="containsText" text="15-20 years">
      <formula>NOT(ISERROR(SEARCH("15-20 years",O6)))</formula>
    </cfRule>
    <cfRule type="containsText" dxfId="516" priority="125" operator="containsText" text="unknown">
      <formula>NOT(ISERROR(SEARCH("unknown",O6)))</formula>
    </cfRule>
    <cfRule type="containsText" dxfId="515" priority="124" operator="containsText" text="20+">
      <formula>NOT(ISERROR(SEARCH("20+",O6)))</formula>
    </cfRule>
  </conditionalFormatting>
  <conditionalFormatting sqref="O28:T30">
    <cfRule type="containsText" dxfId="514" priority="2" operator="containsText" text="unknown">
      <formula>NOT(ISERROR(SEARCH("unknown",O28)))</formula>
    </cfRule>
    <cfRule type="containsText" dxfId="513" priority="6" operator="containsText" text="0-20 years">
      <formula>NOT(ISERROR(SEARCH("0-20 years",O28)))</formula>
    </cfRule>
    <cfRule type="containsText" dxfId="512" priority="7" operator="containsText" text="0-5 years">
      <formula>NOT(ISERROR(SEARCH("0-5 years",O28)))</formula>
    </cfRule>
    <cfRule type="containsText" dxfId="511" priority="5" operator="containsText" text="5-10 years">
      <formula>NOT(ISERROR(SEARCH("5-10 years",O28)))</formula>
    </cfRule>
    <cfRule type="containsText" dxfId="510" priority="4" operator="containsText" text="10-15 years">
      <formula>NOT(ISERROR(SEARCH("10-15 years",O28)))</formula>
    </cfRule>
    <cfRule type="containsText" dxfId="509" priority="3" operator="containsText" text="15-20 years">
      <formula>NOT(ISERROR(SEARCH("15-20 years",O28)))</formula>
    </cfRule>
    <cfRule type="containsText" dxfId="508" priority="1" operator="containsText" text="20+">
      <formula>NOT(ISERROR(SEARCH("20+",O28)))</formula>
    </cfRule>
  </conditionalFormatting>
  <conditionalFormatting sqref="O31:U31">
    <cfRule type="containsText" dxfId="507" priority="39" operator="containsText" text="10-15 years">
      <formula>NOT(ISERROR(SEARCH("10-15 years",O31)))</formula>
    </cfRule>
    <cfRule type="containsText" dxfId="506" priority="40" operator="containsText" text="5-10 years">
      <formula>NOT(ISERROR(SEARCH("5-10 years",O31)))</formula>
    </cfRule>
    <cfRule type="containsText" dxfId="505" priority="42" operator="containsText" text="0-5 years">
      <formula>NOT(ISERROR(SEARCH("0-5 years",O31)))</formula>
    </cfRule>
    <cfRule type="containsText" dxfId="504" priority="41" operator="containsText" text="0-20 years">
      <formula>NOT(ISERROR(SEARCH("0-20 years",O31)))</formula>
    </cfRule>
    <cfRule type="containsText" dxfId="503" priority="36" operator="containsText" text="20+">
      <formula>NOT(ISERROR(SEARCH("20+",O31)))</formula>
    </cfRule>
    <cfRule type="containsText" dxfId="502" priority="37" operator="containsText" text="unknown">
      <formula>NOT(ISERROR(SEARCH("unknown",O31)))</formula>
    </cfRule>
    <cfRule type="containsText" dxfId="501" priority="38" operator="containsText" text="15-20 years">
      <formula>NOT(ISERROR(SEARCH("15-20 years",O31)))</formula>
    </cfRule>
  </conditionalFormatting>
  <conditionalFormatting sqref="O32:Z33">
    <cfRule type="containsText" dxfId="500" priority="22" operator="containsText" text="20+">
      <formula>NOT(ISERROR(SEARCH("20+",O32)))</formula>
    </cfRule>
    <cfRule type="containsText" dxfId="499" priority="23" operator="containsText" text="unknown">
      <formula>NOT(ISERROR(SEARCH("unknown",O32)))</formula>
    </cfRule>
    <cfRule type="containsText" dxfId="498" priority="24" operator="containsText" text="15-20 years">
      <formula>NOT(ISERROR(SEARCH("15-20 years",O32)))</formula>
    </cfRule>
    <cfRule type="containsText" dxfId="497" priority="25" operator="containsText" text="10-15 years">
      <formula>NOT(ISERROR(SEARCH("10-15 years",O32)))</formula>
    </cfRule>
    <cfRule type="containsText" dxfId="496" priority="26" operator="containsText" text="5-10 years">
      <formula>NOT(ISERROR(SEARCH("5-10 years",O32)))</formula>
    </cfRule>
    <cfRule type="containsText" dxfId="495" priority="27" operator="containsText" text="0-20 years">
      <formula>NOT(ISERROR(SEARCH("0-20 years",O32)))</formula>
    </cfRule>
    <cfRule type="containsText" dxfId="494" priority="28" operator="containsText" text="0-5 years">
      <formula>NOT(ISERROR(SEARCH("0-5 years",O32)))</formula>
    </cfRule>
  </conditionalFormatting>
  <conditionalFormatting sqref="T21:T22">
    <cfRule type="containsText" dxfId="493" priority="96" operator="containsText" text="5-10 years">
      <formula>NOT(ISERROR(SEARCH("5-10 years",T21)))</formula>
    </cfRule>
    <cfRule type="containsText" dxfId="492" priority="92" operator="containsText" text="20+">
      <formula>NOT(ISERROR(SEARCH("20+",T21)))</formula>
    </cfRule>
    <cfRule type="containsText" dxfId="491" priority="93" operator="containsText" text="unknown">
      <formula>NOT(ISERROR(SEARCH("unknown",T21)))</formula>
    </cfRule>
    <cfRule type="containsText" dxfId="490" priority="98" operator="containsText" text="0-5 years">
      <formula>NOT(ISERROR(SEARCH("0-5 years",T21)))</formula>
    </cfRule>
    <cfRule type="containsText" dxfId="489" priority="97" operator="containsText" text="0-20 years">
      <formula>NOT(ISERROR(SEARCH("0-20 years",T21)))</formula>
    </cfRule>
    <cfRule type="containsText" dxfId="488" priority="94" operator="containsText" text="15-20 years">
      <formula>NOT(ISERROR(SEARCH("15-20 years",T21)))</formula>
    </cfRule>
    <cfRule type="containsText" dxfId="487" priority="95" operator="containsText" text="10-15 years">
      <formula>NOT(ISERROR(SEARCH("10-15 years",T21)))</formula>
    </cfRule>
  </conditionalFormatting>
  <conditionalFormatting sqref="U6:Z14 O17:U17 W17:Z17 O23:AB23 U27:Z30 O49:AB1048576">
    <cfRule type="containsText" dxfId="486" priority="85" operator="containsText" text="20+">
      <formula>NOT(ISERROR(SEARCH("20+",O6)))</formula>
    </cfRule>
    <cfRule type="containsText" dxfId="485" priority="88" operator="containsText" text="10-15 years">
      <formula>NOT(ISERROR(SEARCH("10-15 years",O6)))</formula>
    </cfRule>
    <cfRule type="containsText" dxfId="484" priority="86" operator="containsText" text="unknown">
      <formula>NOT(ISERROR(SEARCH("unknown",O6)))</formula>
    </cfRule>
    <cfRule type="containsText" dxfId="483" priority="87" operator="containsText" text="15-20 years">
      <formula>NOT(ISERROR(SEARCH("15-20 years",O6)))</formula>
    </cfRule>
    <cfRule type="containsText" dxfId="482" priority="89" operator="containsText" text="5-10 years">
      <formula>NOT(ISERROR(SEARCH("5-10 years",O6)))</formula>
    </cfRule>
    <cfRule type="containsText" dxfId="481" priority="90" operator="containsText" text="0-20 years">
      <formula>NOT(ISERROR(SEARCH("0-20 years",O6)))</formula>
    </cfRule>
    <cfRule type="containsText" dxfId="480" priority="91" operator="containsText" text="0-5 years">
      <formula>NOT(ISERROR(SEARCH("0-5 years",O6)))</formula>
    </cfRule>
  </conditionalFormatting>
  <conditionalFormatting sqref="V22:Y22">
    <cfRule type="containsText" dxfId="479" priority="65" operator="containsText" text="unknown">
      <formula>NOT(ISERROR(SEARCH("unknown",V22)))</formula>
    </cfRule>
    <cfRule type="containsText" dxfId="478" priority="66" operator="containsText" text="15-20 years">
      <formula>NOT(ISERROR(SEARCH("15-20 years",V22)))</formula>
    </cfRule>
    <cfRule type="containsText" dxfId="477" priority="68" operator="containsText" text="5-10 years">
      <formula>NOT(ISERROR(SEARCH("5-10 years",V22)))</formula>
    </cfRule>
    <cfRule type="containsText" dxfId="476" priority="70" operator="containsText" text="0-5 years">
      <formula>NOT(ISERROR(SEARCH("0-5 years",V22)))</formula>
    </cfRule>
    <cfRule type="containsText" dxfId="475" priority="64" operator="containsText" text="20+">
      <formula>NOT(ISERROR(SEARCH("20+",V22)))</formula>
    </cfRule>
    <cfRule type="containsText" dxfId="474" priority="69" operator="containsText" text="0-20 years">
      <formula>NOT(ISERROR(SEARCH("0-20 years",V22)))</formula>
    </cfRule>
    <cfRule type="containsText" dxfId="473" priority="67" operator="containsText" text="10-15 years">
      <formula>NOT(ISERROR(SEARCH("10-15 years",V22)))</formula>
    </cfRule>
  </conditionalFormatting>
  <conditionalFormatting sqref="Z31">
    <cfRule type="containsText" dxfId="472" priority="49" operator="containsText" text="0-5 years">
      <formula>NOT(ISERROR(SEARCH("0-5 years",Z31)))</formula>
    </cfRule>
    <cfRule type="containsText" dxfId="471" priority="46" operator="containsText" text="10-15 years">
      <formula>NOT(ISERROR(SEARCH("10-15 years",Z31)))</formula>
    </cfRule>
    <cfRule type="containsText" dxfId="470" priority="48" operator="containsText" text="0-20 years">
      <formula>NOT(ISERROR(SEARCH("0-20 years",Z31)))</formula>
    </cfRule>
    <cfRule type="containsText" dxfId="469" priority="47" operator="containsText" text="5-10 years">
      <formula>NOT(ISERROR(SEARCH("5-10 years",Z31)))</formula>
    </cfRule>
    <cfRule type="containsText" dxfId="468" priority="45" operator="containsText" text="15-20 years">
      <formula>NOT(ISERROR(SEARCH("15-20 years",Z31)))</formula>
    </cfRule>
    <cfRule type="containsText" dxfId="467" priority="44" operator="containsText" text="unknown">
      <formula>NOT(ISERROR(SEARCH("unknown",Z31)))</formula>
    </cfRule>
    <cfRule type="containsText" dxfId="466" priority="43" operator="containsText" text="20+">
      <formula>NOT(ISERROR(SEARCH("20+",Z31)))</formula>
    </cfRule>
  </conditionalFormatting>
  <conditionalFormatting sqref="Z21:AA22">
    <cfRule type="containsText" dxfId="465" priority="56" operator="containsText" text="0-5 years">
      <formula>NOT(ISERROR(SEARCH("0-5 years",Z21)))</formula>
    </cfRule>
    <cfRule type="containsText" dxfId="464" priority="55" operator="containsText" text="0-20 years">
      <formula>NOT(ISERROR(SEARCH("0-20 years",Z21)))</formula>
    </cfRule>
    <cfRule type="containsText" dxfId="463" priority="54" operator="containsText" text="5-10 years">
      <formula>NOT(ISERROR(SEARCH("5-10 years",Z21)))</formula>
    </cfRule>
    <cfRule type="containsText" dxfId="462" priority="53" operator="containsText" text="10-15 years">
      <formula>NOT(ISERROR(SEARCH("10-15 years",Z21)))</formula>
    </cfRule>
    <cfRule type="containsText" dxfId="461" priority="52" operator="containsText" text="15-20 years">
      <formula>NOT(ISERROR(SEARCH("15-20 years",Z21)))</formula>
    </cfRule>
    <cfRule type="containsText" dxfId="460" priority="50" operator="containsText" text="20+">
      <formula>NOT(ISERROR(SEARCH("20+",Z21)))</formula>
    </cfRule>
    <cfRule type="containsText" dxfId="459" priority="51" operator="containsText" text="unknown">
      <formula>NOT(ISERROR(SEARCH("unknown",Z21)))</formula>
    </cfRule>
  </conditionalFormatting>
  <conditionalFormatting sqref="AA6:AA7">
    <cfRule type="containsText" dxfId="458" priority="75" operator="containsText" text="5-10 years">
      <formula>NOT(ISERROR(SEARCH("5-10 years",AA6)))</formula>
    </cfRule>
    <cfRule type="containsText" dxfId="457" priority="76" operator="containsText" text="0-20 years">
      <formula>NOT(ISERROR(SEARCH("0-20 years",AA6)))</formula>
    </cfRule>
    <cfRule type="containsText" dxfId="456" priority="77" operator="containsText" text="0-5 years">
      <formula>NOT(ISERROR(SEARCH("0-5 years",AA6)))</formula>
    </cfRule>
    <cfRule type="containsText" dxfId="455" priority="71" operator="containsText" text="20+">
      <formula>NOT(ISERROR(SEARCH("20+",AA6)))</formula>
    </cfRule>
    <cfRule type="containsText" dxfId="454" priority="72" operator="containsText" text="unknown">
      <formula>NOT(ISERROR(SEARCH("unknown",AA6)))</formula>
    </cfRule>
    <cfRule type="containsText" dxfId="453" priority="73" operator="containsText" text="15-20 years">
      <formula>NOT(ISERROR(SEARCH("15-20 years",AA6)))</formula>
    </cfRule>
    <cfRule type="containsText" dxfId="452" priority="74" operator="containsText" text="10-15 years">
      <formula>NOT(ISERROR(SEARCH("10-15 years",AA6)))</formula>
    </cfRule>
  </conditionalFormatting>
  <conditionalFormatting sqref="AA3:AB5">
    <cfRule type="containsText" dxfId="451" priority="114" operator="containsText" text="5-10 years">
      <formula>NOT(ISERROR(SEARCH("5-10 years",AA3)))</formula>
    </cfRule>
    <cfRule type="containsText" dxfId="450" priority="115" operator="containsText" text="0-20 years">
      <formula>NOT(ISERROR(SEARCH("0-20 years",AA3)))</formula>
    </cfRule>
    <cfRule type="containsText" dxfId="449" priority="116" operator="containsText" text="0-5 years">
      <formula>NOT(ISERROR(SEARCH("0-5 years",AA3)))</formula>
    </cfRule>
    <cfRule type="containsText" dxfId="448" priority="112" operator="containsText" text="15-20 years">
      <formula>NOT(ISERROR(SEARCH("15-20 years",AA3)))</formula>
    </cfRule>
    <cfRule type="containsText" dxfId="447" priority="110" operator="containsText" text="20+">
      <formula>NOT(ISERROR(SEARCH("20+",AA3)))</formula>
    </cfRule>
    <cfRule type="containsText" dxfId="446" priority="111" operator="containsText" text="unknown">
      <formula>NOT(ISERROR(SEARCH("unknown",AA3)))</formula>
    </cfRule>
    <cfRule type="containsText" dxfId="445" priority="113" operator="containsText" text="10-15 years">
      <formula>NOT(ISERROR(SEARCH("10-15 years",AA3)))</formula>
    </cfRule>
  </conditionalFormatting>
  <conditionalFormatting sqref="AA30:AB33">
    <cfRule type="containsText" dxfId="444" priority="30" operator="containsText" text="unknown">
      <formula>NOT(ISERROR(SEARCH("unknown",AA30)))</formula>
    </cfRule>
    <cfRule type="containsText" dxfId="443" priority="33" operator="containsText" text="5-10 years">
      <formula>NOT(ISERROR(SEARCH("5-10 years",AA30)))</formula>
    </cfRule>
    <cfRule type="containsText" dxfId="442" priority="32" operator="containsText" text="10-15 years">
      <formula>NOT(ISERROR(SEARCH("10-15 years",AA30)))</formula>
    </cfRule>
    <cfRule type="containsText" dxfId="441" priority="31" operator="containsText" text="15-20 years">
      <formula>NOT(ISERROR(SEARCH("15-20 years",AA30)))</formula>
    </cfRule>
    <cfRule type="containsText" dxfId="440" priority="29" operator="containsText" text="20+">
      <formula>NOT(ISERROR(SEARCH("20+",AA30)))</formula>
    </cfRule>
    <cfRule type="containsText" dxfId="439" priority="35" operator="containsText" text="0-5 years">
      <formula>NOT(ISERROR(SEARCH("0-5 years",AA30)))</formula>
    </cfRule>
    <cfRule type="containsText" dxfId="438" priority="34" operator="containsText" text="0-20 years">
      <formula>NOT(ISERROR(SEARCH("0-20 years",AA30)))</formula>
    </cfRule>
  </conditionalFormatting>
  <pageMargins left="0.7" right="0.7" top="0.75" bottom="0.75" header="0.3" footer="0.3"/>
  <pageSetup paperSize="8" scale="21" fitToHeight="0" orientation="landscape" r:id="rId1"/>
  <extLst>
    <ext xmlns:x14="http://schemas.microsoft.com/office/spreadsheetml/2009/9/main" uri="{78C0D931-6437-407d-A8EE-F0AAD7539E65}">
      <x14:conditionalFormattings>
        <x14:conditionalFormatting xmlns:xm="http://schemas.microsoft.com/office/excel/2006/main">
          <x14:cfRule type="containsText" priority="102" operator="containsText" text="Critical" id="{50E00FD3-0C8D-4DB9-AD58-79C585C396DB}">
            <xm:f>NOT(ISERROR(SEARCH("Critical",'K:\Projects\HGGT0003 - HGGT IDP Update 2021-22\[20190414_HGGT_IDP_2019_Schedule.xlsx]Utilities'!#REF!)))</xm:f>
            <x14:dxf>
              <fill>
                <patternFill>
                  <bgColor rgb="FFFF0000"/>
                </patternFill>
              </fill>
            </x14:dxf>
          </x14:cfRule>
          <x14:cfRule type="containsText" priority="99" operator="containsText" text="Critical" id="{BB0DBE84-D541-4310-B352-BB8C046664E5}">
            <xm:f>NOT(ISERROR(SEARCH("Critical",'K:\Projects\HGGT0003 - HGGT IDP Update 2021-22\[20190414_HGGT_IDP_2019_Schedule.xlsx]Utilities'!#REF!)))</xm:f>
            <x14:dxf>
              <font>
                <color theme="0"/>
              </font>
              <fill>
                <patternFill>
                  <bgColor rgb="FFFF0000"/>
                </patternFill>
              </fill>
            </x14:dxf>
          </x14:cfRule>
          <x14:cfRule type="containsText" priority="100" operator="containsText" text="Essential" id="{DFEAB0D4-C61F-4350-A872-E655B73EEF94}">
            <xm:f>NOT(ISERROR(SEARCH("Essential",'K:\Projects\HGGT0003 - HGGT IDP Update 2021-22\[20190414_HGGT_IDP_2019_Schedule.xlsx]Utilities'!#REF!)))</xm:f>
            <x14:dxf>
              <font>
                <color theme="0"/>
              </font>
              <fill>
                <patternFill>
                  <bgColor rgb="FFFFC000"/>
                </patternFill>
              </fill>
            </x14:dxf>
          </x14:cfRule>
          <x14:cfRule type="containsText" priority="101" operator="containsText" text="Desirable" id="{C1E81D90-FAA7-4D02-8E19-B55999652243}">
            <xm:f>NOT(ISERROR(SEARCH("Desirable",'K:\Projects\HGGT0003 - HGGT IDP Update 2021-22\[20190414_HGGT_IDP_2019_Schedule.xlsx]Utilities'!#REF!)))</xm:f>
            <x14:dxf>
              <font>
                <color theme="0"/>
              </font>
              <fill>
                <patternFill>
                  <bgColor rgb="FF92D050"/>
                </patternFill>
              </fill>
            </x14:dxf>
          </x14:cfRule>
          <xm:sqref>D1</xm:sqref>
        </x14:conditionalFormatting>
        <x14:conditionalFormatting xmlns:xm="http://schemas.microsoft.com/office/excel/2006/main">
          <x14:cfRule type="containsText" priority="109" operator="containsText" text="0-5 years" id="{5282C9E9-C17C-407A-A2AB-9D4FDA1FF5B8}">
            <xm:f>NOT(ISERROR(SEARCH("0-5 years",'K:\Projects\HGGT0003 - HGGT IDP Update 2021-22\[20190414_HGGT_IDP_2019_Schedule.xlsx]Utilities'!#REF!)))</xm:f>
            <x14:dxf>
              <fill>
                <patternFill>
                  <bgColor theme="4" tint="0.79998168889431442"/>
                </patternFill>
              </fill>
            </x14:dxf>
          </x14:cfRule>
          <x14:cfRule type="containsText" priority="108" operator="containsText" text="0-20 years" id="{AF88FCA9-9F18-408E-A909-59F181D88ED5}">
            <xm:f>NOT(ISERROR(SEARCH("0-20 years",'K:\Projects\HGGT0003 - HGGT IDP Update 2021-22\[20190414_HGGT_IDP_2019_Schedule.xlsx]Utilities'!#REF!)))</xm:f>
            <x14:dxf>
              <fill>
                <patternFill>
                  <bgColor theme="4" tint="0.59996337778862885"/>
                </patternFill>
              </fill>
            </x14:dxf>
          </x14:cfRule>
          <x14:cfRule type="containsText" priority="107" operator="containsText" text="5-10 years" id="{A0FC1DD9-B533-40E3-8FCE-BB2D5A252B9C}">
            <xm:f>NOT(ISERROR(SEARCH("5-10 years",'K:\Projects\HGGT0003 - HGGT IDP Update 2021-22\[20190414_HGGT_IDP_2019_Schedule.xlsx]Utilities'!#REF!)))</xm:f>
            <x14:dxf>
              <fill>
                <patternFill>
                  <bgColor theme="4" tint="0.39994506668294322"/>
                </patternFill>
              </fill>
            </x14:dxf>
          </x14:cfRule>
          <x14:cfRule type="containsText" priority="106" operator="containsText" text="10-15 years" id="{1BDBF7D8-7A75-4A95-B646-26A7D0930FF7}">
            <xm:f>NOT(ISERROR(SEARCH("10-15 years",'K:\Projects\HGGT0003 - HGGT IDP Update 2021-22\[20190414_HGGT_IDP_2019_Schedule.xlsx]Utilities'!#REF!)))</xm:f>
            <x14:dxf>
              <fill>
                <patternFill>
                  <bgColor theme="4" tint="-0.24994659260841701"/>
                </patternFill>
              </fill>
            </x14:dxf>
          </x14:cfRule>
          <x14:cfRule type="containsText" priority="105" operator="containsText" text="15-20 years" id="{6F849911-DA87-43C9-8236-6482AAB3A807}">
            <xm:f>NOT(ISERROR(SEARCH("15-20 years",'K:\Projects\HGGT0003 - HGGT IDP Update 2021-22\[20190414_HGGT_IDP_2019_Schedule.xlsx]Utilities'!#REF!)))</xm:f>
            <x14:dxf>
              <fill>
                <patternFill>
                  <bgColor theme="3" tint="0.39994506668294322"/>
                </patternFill>
              </fill>
            </x14:dxf>
          </x14:cfRule>
          <x14:cfRule type="containsText" priority="104" operator="containsText" text="unknown" id="{4155B913-7F2C-4775-8B10-19AD7E96C273}">
            <xm:f>NOT(ISERROR(SEARCH("unknown",'K:\Projects\HGGT0003 - HGGT IDP Update 2021-22\[20190414_HGGT_IDP_2019_Schedule.xlsx]Utilities'!#REF!)))</xm:f>
            <x14:dxf>
              <fill>
                <patternFill>
                  <bgColor theme="3" tint="0.79998168889431442"/>
                </patternFill>
              </fill>
            </x14:dxf>
          </x14:cfRule>
          <x14:cfRule type="containsText" priority="103" operator="containsText" text="20+" id="{395E4DD9-8E07-4D34-A58A-9A3C3B3252FB}">
            <xm:f>NOT(ISERROR(SEARCH("20+",'K:\Projects\HGGT0003 - HGGT IDP Update 2021-22\[20190414_HGGT_IDP_2019_Schedule.xlsx]Utilities'!#REF!)))</xm:f>
            <x14:dxf>
              <fill>
                <patternFill>
                  <bgColor theme="3" tint="0.59996337778862885"/>
                </patternFill>
              </fill>
            </x14:dxf>
          </x14:cfRule>
          <xm:sqref>G1 O1:AA1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9</vt:i4>
      </vt:variant>
    </vt:vector>
  </HeadingPairs>
  <TitlesOfParts>
    <vt:vector size="36" baseType="lpstr">
      <vt:lpstr>Summary by Topic</vt:lpstr>
      <vt:lpstr>Site Costs Summary 2022</vt:lpstr>
      <vt:lpstr>Summary by Site - Land Variant</vt:lpstr>
      <vt:lpstr>Summary by SS - Land Variant</vt:lpstr>
      <vt:lpstr>Transport 2019</vt:lpstr>
      <vt:lpstr>Prioritisation 2022</vt:lpstr>
      <vt:lpstr>Prioritisation - old</vt:lpstr>
      <vt:lpstr>Transport 2022</vt:lpstr>
      <vt:lpstr>Education 2019</vt:lpstr>
      <vt:lpstr>Education 2022</vt:lpstr>
      <vt:lpstr>Healthcare 2019 </vt:lpstr>
      <vt:lpstr>Healthcare 2022</vt:lpstr>
      <vt:lpstr>Emergency Services 2019</vt:lpstr>
      <vt:lpstr>Emergency Services 2022</vt:lpstr>
      <vt:lpstr>Community Facilities 2019</vt:lpstr>
      <vt:lpstr>Community Facilities 2022</vt:lpstr>
      <vt:lpstr>Open Space 2019</vt:lpstr>
      <vt:lpstr>Open Space 2022</vt:lpstr>
      <vt:lpstr>Sports and Leisure 2019</vt:lpstr>
      <vt:lpstr>Sports &amp; Leisure 2022</vt:lpstr>
      <vt:lpstr>Utilities 2019</vt:lpstr>
      <vt:lpstr>Utilities 2022</vt:lpstr>
      <vt:lpstr>Flood Defence 2019</vt:lpstr>
      <vt:lpstr>Flood Defence 2022</vt:lpstr>
      <vt:lpstr>internal working &gt;&gt;&gt;</vt:lpstr>
      <vt:lpstr>Apportionment %</vt:lpstr>
      <vt:lpstr>Indexation</vt:lpstr>
      <vt:lpstr>'Community Facilities 2022'!Print_Area</vt:lpstr>
      <vt:lpstr>'Education 2022'!Print_Area</vt:lpstr>
      <vt:lpstr>'Emergency Services 2022'!Print_Area</vt:lpstr>
      <vt:lpstr>'Flood Defence 2022'!Print_Area</vt:lpstr>
      <vt:lpstr>'Healthcare 2022'!Print_Area</vt:lpstr>
      <vt:lpstr>'Open Space 2022'!Print_Area</vt:lpstr>
      <vt:lpstr>'Site Costs Summary 2022'!Print_Area</vt:lpstr>
      <vt:lpstr>'Sports &amp; Leisure 2022'!Print_Area</vt:lpstr>
      <vt:lpstr>'Utilities 2022'!Print_Area</vt:lpstr>
    </vt:vector>
  </TitlesOfParts>
  <Manager/>
  <Company>Arup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 Smithson</dc:creator>
  <cp:keywords/>
  <dc:description/>
  <cp:lastModifiedBy>Sam Terrell</cp:lastModifiedBy>
  <cp:revision/>
  <dcterms:created xsi:type="dcterms:W3CDTF">2017-03-14T13:30:17Z</dcterms:created>
  <dcterms:modified xsi:type="dcterms:W3CDTF">2024-05-15T09:25:00Z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fa3fd3-029b-403d-91b4-1dc930cb0e60_Enabled">
    <vt:lpwstr>true</vt:lpwstr>
  </property>
  <property fmtid="{D5CDD505-2E9C-101B-9397-08002B2CF9AE}" pid="3" name="MSIP_Label_82fa3fd3-029b-403d-91b4-1dc930cb0e60_SetDate">
    <vt:lpwstr>2021-05-11T11:20:20Z</vt:lpwstr>
  </property>
  <property fmtid="{D5CDD505-2E9C-101B-9397-08002B2CF9AE}" pid="4" name="MSIP_Label_82fa3fd3-029b-403d-91b4-1dc930cb0e60_Method">
    <vt:lpwstr>Standard</vt:lpwstr>
  </property>
  <property fmtid="{D5CDD505-2E9C-101B-9397-08002B2CF9AE}" pid="5" name="MSIP_Label_82fa3fd3-029b-403d-91b4-1dc930cb0e60_Name">
    <vt:lpwstr>82fa3fd3-029b-403d-91b4-1dc930cb0e60</vt:lpwstr>
  </property>
  <property fmtid="{D5CDD505-2E9C-101B-9397-08002B2CF9AE}" pid="6" name="MSIP_Label_82fa3fd3-029b-403d-91b4-1dc930cb0e60_SiteId">
    <vt:lpwstr>4ae48b41-0137-4599-8661-fc641fe77bea</vt:lpwstr>
  </property>
  <property fmtid="{D5CDD505-2E9C-101B-9397-08002B2CF9AE}" pid="7" name="MSIP_Label_82fa3fd3-029b-403d-91b4-1dc930cb0e60_ActionId">
    <vt:lpwstr>2fd1f1a1-2454-41bd-bdb0-30f9f5f3bf65</vt:lpwstr>
  </property>
  <property fmtid="{D5CDD505-2E9C-101B-9397-08002B2CF9AE}" pid="8" name="MSIP_Label_82fa3fd3-029b-403d-91b4-1dc930cb0e60_ContentBits">
    <vt:lpwstr>0</vt:lpwstr>
  </property>
</Properties>
</file>